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y\Desktop\Test\"/>
    </mc:Choice>
  </mc:AlternateContent>
  <xr:revisionPtr revIDLastSave="0" documentId="13_ncr:1_{F96D4A6F-B1F7-4788-967F-4719E44F5090}" xr6:coauthVersionLast="47" xr6:coauthVersionMax="47" xr10:uidLastSave="{00000000-0000-0000-0000-000000000000}"/>
  <bookViews>
    <workbookView xWindow="-120" yWindow="-120" windowWidth="29040" windowHeight="15720" xr2:uid="{4DE6445C-9482-4168-A5EE-89B96523E924}"/>
  </bookViews>
  <sheets>
    <sheet name="Actuals Phase I Schedules" sheetId="9" r:id="rId1"/>
    <sheet name="Actuals Phase II Schedules" sheetId="10" r:id="rId2"/>
    <sheet name="DCA 8 month Phase I" sheetId="7" r:id="rId3"/>
    <sheet name="DCA 8 month Phase II" sheetId="8" r:id="rId4"/>
    <sheet name="DCA 3 month Phase I" sheetId="5" r:id="rId5"/>
    <sheet name="DCA 3 month Phase II" sheetId="6" r:id="rId6"/>
    <sheet name="ABDA 8 month Phase I" sheetId="3" r:id="rId7"/>
    <sheet name="ABDA 8 month Phase II" sheetId="4" r:id="rId8"/>
    <sheet name="ABDA 3 month Phase I" sheetId="1" r:id="rId9"/>
    <sheet name="ABDA 3 month Phase II" sheetId="2" r:id="rId10"/>
  </sheets>
  <definedNames>
    <definedName name="__">#REF!</definedName>
    <definedName name="hrspercont">'ABDA 3 month Phase II'!$B$39:$D$42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Y35" i="10" l="1"/>
  <c r="GZ35" i="10" s="1"/>
  <c r="HA35" i="10" s="1"/>
  <c r="HB35" i="10" s="1"/>
  <c r="HC35" i="10" s="1"/>
  <c r="FZ34" i="10"/>
  <c r="GA34" i="10" s="1"/>
  <c r="GB34" i="10" s="1"/>
  <c r="FU34" i="10"/>
  <c r="FV34" i="10" s="1"/>
  <c r="FW34" i="10" s="1"/>
  <c r="FX34" i="10" s="1"/>
  <c r="GJ32" i="10"/>
  <c r="GK32" i="10" s="1"/>
  <c r="GL32" i="10" s="1"/>
  <c r="GM32" i="10" s="1"/>
  <c r="GN32" i="10" s="1"/>
  <c r="GO32" i="10" s="1"/>
  <c r="GP32" i="10" s="1"/>
  <c r="GQ32" i="10" s="1"/>
  <c r="HA31" i="10"/>
  <c r="AS31" i="10"/>
  <c r="AT31" i="10" s="1"/>
  <c r="AU31" i="10" s="1"/>
  <c r="AV31" i="10" s="1"/>
  <c r="AW31" i="10" s="1"/>
  <c r="AX31" i="10" s="1"/>
  <c r="AZ31" i="10" s="1"/>
  <c r="Y31" i="10"/>
  <c r="FL31" i="10" s="1"/>
  <c r="FM31" i="10" s="1"/>
  <c r="N28" i="10"/>
  <c r="L28" i="10"/>
  <c r="JI27" i="10"/>
  <c r="JG27" i="10"/>
  <c r="IW27" i="10"/>
  <c r="HS27" i="10"/>
  <c r="HQ27" i="10"/>
  <c r="GV27" i="10"/>
  <c r="GZ27" i="10" s="1"/>
  <c r="GQ27" i="10"/>
  <c r="GG27" i="10"/>
  <c r="FI27" i="10"/>
  <c r="EN27" i="10"/>
  <c r="DW27" i="10"/>
  <c r="DH27" i="10"/>
  <c r="CI27" i="10"/>
  <c r="BL27" i="10"/>
  <c r="AT27" i="10"/>
  <c r="AQ27" i="10"/>
  <c r="AS27" i="10" s="1"/>
  <c r="V27" i="10"/>
  <c r="O27" i="10"/>
  <c r="M27" i="10"/>
  <c r="J27" i="10"/>
  <c r="JI26" i="10"/>
  <c r="JG26" i="10"/>
  <c r="HS26" i="10"/>
  <c r="HQ26" i="10"/>
  <c r="GV26" i="10"/>
  <c r="GZ26" i="10" s="1"/>
  <c r="GQ26" i="10"/>
  <c r="GG26" i="10"/>
  <c r="FI26" i="10"/>
  <c r="EN26" i="10"/>
  <c r="DW26" i="10"/>
  <c r="DH26" i="10"/>
  <c r="CI26" i="10"/>
  <c r="BL26" i="10"/>
  <c r="AT26" i="10"/>
  <c r="AQ26" i="10"/>
  <c r="AS26" i="10" s="1"/>
  <c r="V26" i="10"/>
  <c r="O26" i="10"/>
  <c r="M26" i="10"/>
  <c r="J26" i="10"/>
  <c r="JI25" i="10"/>
  <c r="JG25" i="10"/>
  <c r="HS25" i="10"/>
  <c r="HQ25" i="10"/>
  <c r="GV25" i="10"/>
  <c r="GZ25" i="10" s="1"/>
  <c r="GQ25" i="10"/>
  <c r="GG25" i="10"/>
  <c r="FI25" i="10"/>
  <c r="EN25" i="10"/>
  <c r="DW25" i="10"/>
  <c r="DH25" i="10"/>
  <c r="CI25" i="10"/>
  <c r="BL25" i="10"/>
  <c r="AT25" i="10"/>
  <c r="AQ25" i="10"/>
  <c r="AS25" i="10" s="1"/>
  <c r="V25" i="10"/>
  <c r="O25" i="10"/>
  <c r="M25" i="10"/>
  <c r="J25" i="10"/>
  <c r="JI24" i="10"/>
  <c r="JG24" i="10"/>
  <c r="IW24" i="10"/>
  <c r="HS24" i="10"/>
  <c r="HQ24" i="10"/>
  <c r="GV24" i="10"/>
  <c r="GZ24" i="10" s="1"/>
  <c r="GQ24" i="10"/>
  <c r="GG24" i="10"/>
  <c r="FI24" i="10"/>
  <c r="EN24" i="10"/>
  <c r="DW24" i="10"/>
  <c r="DH24" i="10"/>
  <c r="CI24" i="10"/>
  <c r="BL24" i="10"/>
  <c r="AT24" i="10"/>
  <c r="AQ24" i="10"/>
  <c r="AS24" i="10" s="1"/>
  <c r="V24" i="10"/>
  <c r="O24" i="10"/>
  <c r="M24" i="10"/>
  <c r="J24" i="10"/>
  <c r="JI23" i="10"/>
  <c r="JG23" i="10"/>
  <c r="IW23" i="10"/>
  <c r="HS23" i="10"/>
  <c r="HQ23" i="10"/>
  <c r="GV23" i="10"/>
  <c r="GZ23" i="10" s="1"/>
  <c r="GQ23" i="10"/>
  <c r="GG23" i="10"/>
  <c r="FI23" i="10"/>
  <c r="EN23" i="10"/>
  <c r="DW23" i="10"/>
  <c r="DH23" i="10"/>
  <c r="CI23" i="10"/>
  <c r="BL23" i="10"/>
  <c r="AT23" i="10"/>
  <c r="AQ23" i="10"/>
  <c r="AS23" i="10" s="1"/>
  <c r="V23" i="10"/>
  <c r="O23" i="10"/>
  <c r="J23" i="10"/>
  <c r="JI22" i="10"/>
  <c r="JG22" i="10"/>
  <c r="HS22" i="10"/>
  <c r="HQ22" i="10"/>
  <c r="GV22" i="10"/>
  <c r="GZ22" i="10" s="1"/>
  <c r="GQ22" i="10"/>
  <c r="GG22" i="10"/>
  <c r="FI22" i="10"/>
  <c r="EN22" i="10"/>
  <c r="DW22" i="10"/>
  <c r="DH22" i="10"/>
  <c r="CI22" i="10"/>
  <c r="BL22" i="10"/>
  <c r="AT22" i="10"/>
  <c r="AQ22" i="10"/>
  <c r="AS22" i="10" s="1"/>
  <c r="V22" i="10"/>
  <c r="O22" i="10"/>
  <c r="M22" i="10"/>
  <c r="J22" i="10"/>
  <c r="JI21" i="10"/>
  <c r="JG21" i="10"/>
  <c r="HS21" i="10"/>
  <c r="HQ21" i="10"/>
  <c r="GV21" i="10"/>
  <c r="GZ21" i="10" s="1"/>
  <c r="GQ21" i="10"/>
  <c r="GG21" i="10"/>
  <c r="FI21" i="10"/>
  <c r="EN21" i="10"/>
  <c r="DW21" i="10"/>
  <c r="DH21" i="10"/>
  <c r="CI21" i="10"/>
  <c r="BL21" i="10"/>
  <c r="AT21" i="10"/>
  <c r="AQ21" i="10"/>
  <c r="AS21" i="10" s="1"/>
  <c r="V21" i="10"/>
  <c r="O21" i="10"/>
  <c r="M21" i="10"/>
  <c r="J21" i="10"/>
  <c r="JI20" i="10"/>
  <c r="JG20" i="10"/>
  <c r="HS20" i="10"/>
  <c r="HQ20" i="10"/>
  <c r="GV20" i="10"/>
  <c r="GZ20" i="10" s="1"/>
  <c r="GQ20" i="10"/>
  <c r="GG20" i="10"/>
  <c r="FI20" i="10"/>
  <c r="EN20" i="10"/>
  <c r="DW20" i="10"/>
  <c r="DH20" i="10"/>
  <c r="CI20" i="10"/>
  <c r="BL20" i="10"/>
  <c r="AT20" i="10"/>
  <c r="AQ20" i="10"/>
  <c r="AS20" i="10" s="1"/>
  <c r="V20" i="10"/>
  <c r="O20" i="10"/>
  <c r="M20" i="10"/>
  <c r="J20" i="10"/>
  <c r="JI19" i="10"/>
  <c r="JG19" i="10"/>
  <c r="HS19" i="10"/>
  <c r="HQ19" i="10"/>
  <c r="GV19" i="10"/>
  <c r="GZ19" i="10" s="1"/>
  <c r="GQ19" i="10"/>
  <c r="GG19" i="10"/>
  <c r="FI19" i="10"/>
  <c r="EN19" i="10"/>
  <c r="DW19" i="10"/>
  <c r="DH19" i="10"/>
  <c r="CI19" i="10"/>
  <c r="BL19" i="10"/>
  <c r="AT19" i="10"/>
  <c r="AQ19" i="10"/>
  <c r="V19" i="10"/>
  <c r="O19" i="10"/>
  <c r="M19" i="10"/>
  <c r="J19" i="10"/>
  <c r="JI18" i="10"/>
  <c r="JG18" i="10"/>
  <c r="HS18" i="10"/>
  <c r="HQ18" i="10"/>
  <c r="GV18" i="10"/>
  <c r="GZ18" i="10" s="1"/>
  <c r="GQ18" i="10"/>
  <c r="GG18" i="10"/>
  <c r="FI18" i="10"/>
  <c r="EN18" i="10"/>
  <c r="DW18" i="10"/>
  <c r="DH18" i="10"/>
  <c r="CI18" i="10"/>
  <c r="BL18" i="10"/>
  <c r="AT18" i="10"/>
  <c r="AQ18" i="10"/>
  <c r="AS18" i="10" s="1"/>
  <c r="V18" i="10"/>
  <c r="O18" i="10"/>
  <c r="J18" i="10"/>
  <c r="JI17" i="10"/>
  <c r="JG17" i="10"/>
  <c r="IW17" i="10"/>
  <c r="HS17" i="10"/>
  <c r="HQ17" i="10"/>
  <c r="GV17" i="10"/>
  <c r="GZ17" i="10" s="1"/>
  <c r="GQ17" i="10"/>
  <c r="GG17" i="10"/>
  <c r="FI17" i="10"/>
  <c r="EN17" i="10"/>
  <c r="DW17" i="10"/>
  <c r="DH17" i="10"/>
  <c r="CI17" i="10"/>
  <c r="BL17" i="10"/>
  <c r="AT17" i="10"/>
  <c r="AQ17" i="10"/>
  <c r="AS17" i="10" s="1"/>
  <c r="V17" i="10"/>
  <c r="O17" i="10"/>
  <c r="J17" i="10"/>
  <c r="JI16" i="10"/>
  <c r="JG16" i="10"/>
  <c r="HS16" i="10"/>
  <c r="HQ16" i="10"/>
  <c r="GV16" i="10"/>
  <c r="GZ16" i="10" s="1"/>
  <c r="GQ16" i="10"/>
  <c r="GG16" i="10"/>
  <c r="FI16" i="10"/>
  <c r="EN16" i="10"/>
  <c r="DW16" i="10"/>
  <c r="DH16" i="10"/>
  <c r="CI16" i="10"/>
  <c r="BL16" i="10"/>
  <c r="AT16" i="10"/>
  <c r="AQ16" i="10"/>
  <c r="AS16" i="10" s="1"/>
  <c r="V16" i="10"/>
  <c r="O16" i="10"/>
  <c r="M16" i="10"/>
  <c r="J16" i="10"/>
  <c r="JI15" i="10"/>
  <c r="JG15" i="10"/>
  <c r="IW15" i="10"/>
  <c r="HS15" i="10"/>
  <c r="HQ15" i="10"/>
  <c r="GV15" i="10"/>
  <c r="GZ15" i="10" s="1"/>
  <c r="GQ15" i="10"/>
  <c r="GG15" i="10"/>
  <c r="FI15" i="10"/>
  <c r="EN15" i="10"/>
  <c r="DW15" i="10"/>
  <c r="DH15" i="10"/>
  <c r="CI15" i="10"/>
  <c r="BL15" i="10"/>
  <c r="AT15" i="10"/>
  <c r="AQ15" i="10"/>
  <c r="AS15" i="10" s="1"/>
  <c r="V15" i="10"/>
  <c r="O15" i="10"/>
  <c r="M15" i="10"/>
  <c r="J15" i="10"/>
  <c r="JI14" i="10"/>
  <c r="JG14" i="10"/>
  <c r="HS14" i="10"/>
  <c r="HQ14" i="10"/>
  <c r="GV14" i="10"/>
  <c r="GZ14" i="10" s="1"/>
  <c r="GQ14" i="10"/>
  <c r="GG14" i="10"/>
  <c r="FI14" i="10"/>
  <c r="EN14" i="10"/>
  <c r="DW14" i="10"/>
  <c r="DH14" i="10"/>
  <c r="CI14" i="10"/>
  <c r="BL14" i="10"/>
  <c r="AT14" i="10"/>
  <c r="AQ14" i="10"/>
  <c r="AS14" i="10" s="1"/>
  <c r="V14" i="10"/>
  <c r="O14" i="10"/>
  <c r="M14" i="10"/>
  <c r="J14" i="10"/>
  <c r="JI13" i="10"/>
  <c r="JG13" i="10"/>
  <c r="HS13" i="10"/>
  <c r="HQ13" i="10"/>
  <c r="GV13" i="10"/>
  <c r="GZ13" i="10" s="1"/>
  <c r="GQ13" i="10"/>
  <c r="GG13" i="10"/>
  <c r="FQ13" i="10"/>
  <c r="FI13" i="10"/>
  <c r="EN13" i="10"/>
  <c r="DH13" i="10"/>
  <c r="CI13" i="10"/>
  <c r="BL13" i="10"/>
  <c r="AT13" i="10"/>
  <c r="AQ13" i="10"/>
  <c r="AS13" i="10" s="1"/>
  <c r="V13" i="10"/>
  <c r="O13" i="10"/>
  <c r="J13" i="10"/>
  <c r="E13" i="10"/>
  <c r="JI12" i="10"/>
  <c r="JG12" i="10"/>
  <c r="HS12" i="10"/>
  <c r="HQ12" i="10"/>
  <c r="GV12" i="10"/>
  <c r="GZ12" i="10" s="1"/>
  <c r="GQ12" i="10"/>
  <c r="GG12" i="10"/>
  <c r="FI12" i="10"/>
  <c r="EN12" i="10"/>
  <c r="DW12" i="10"/>
  <c r="DH12" i="10"/>
  <c r="CI12" i="10"/>
  <c r="BL12" i="10"/>
  <c r="AT12" i="10"/>
  <c r="AQ12" i="10"/>
  <c r="AS12" i="10" s="1"/>
  <c r="V12" i="10"/>
  <c r="O12" i="10"/>
  <c r="J12" i="10"/>
  <c r="JI11" i="10"/>
  <c r="JG11" i="10"/>
  <c r="HS11" i="10"/>
  <c r="HQ11" i="10"/>
  <c r="GV11" i="10"/>
  <c r="GZ11" i="10" s="1"/>
  <c r="GQ11" i="10"/>
  <c r="GG11" i="10"/>
  <c r="FI11" i="10"/>
  <c r="EN11" i="10"/>
  <c r="DW11" i="10"/>
  <c r="DH11" i="10"/>
  <c r="CI11" i="10"/>
  <c r="BL11" i="10"/>
  <c r="AT11" i="10"/>
  <c r="AQ11" i="10"/>
  <c r="AS11" i="10" s="1"/>
  <c r="V11" i="10"/>
  <c r="O11" i="10"/>
  <c r="M11" i="10"/>
  <c r="J11" i="10"/>
  <c r="JI10" i="10"/>
  <c r="JG10" i="10"/>
  <c r="HS10" i="10"/>
  <c r="HQ10" i="10"/>
  <c r="GV10" i="10"/>
  <c r="GZ10" i="10" s="1"/>
  <c r="GQ10" i="10"/>
  <c r="GG10" i="10"/>
  <c r="FI10" i="10"/>
  <c r="EN10" i="10"/>
  <c r="DW10" i="10"/>
  <c r="DH10" i="10"/>
  <c r="CI10" i="10"/>
  <c r="BL10" i="10"/>
  <c r="AT10" i="10"/>
  <c r="AQ10" i="10"/>
  <c r="AS10" i="10" s="1"/>
  <c r="V10" i="10"/>
  <c r="O10" i="10"/>
  <c r="M10" i="10"/>
  <c r="J10" i="10"/>
  <c r="JI9" i="10"/>
  <c r="JG9" i="10"/>
  <c r="HS9" i="10"/>
  <c r="HQ9" i="10"/>
  <c r="GV9" i="10"/>
  <c r="GZ9" i="10" s="1"/>
  <c r="GQ9" i="10"/>
  <c r="GG9" i="10"/>
  <c r="FI9" i="10"/>
  <c r="EN9" i="10"/>
  <c r="DW9" i="10"/>
  <c r="DH9" i="10"/>
  <c r="CI9" i="10"/>
  <c r="BY9" i="10"/>
  <c r="BL9" i="10"/>
  <c r="AT9" i="10"/>
  <c r="AQ9" i="10"/>
  <c r="AS9" i="10" s="1"/>
  <c r="V9" i="10"/>
  <c r="O9" i="10"/>
  <c r="M9" i="10"/>
  <c r="J9" i="10"/>
  <c r="JI8" i="10"/>
  <c r="JG8" i="10"/>
  <c r="IW8" i="10"/>
  <c r="HS8" i="10"/>
  <c r="HQ8" i="10"/>
  <c r="HA8" i="10"/>
  <c r="GV8" i="10"/>
  <c r="GZ8" i="10" s="1"/>
  <c r="IS8" i="10" s="1"/>
  <c r="IV8" i="10" s="1"/>
  <c r="GQ8" i="10"/>
  <c r="GG8" i="10"/>
  <c r="GB8" i="10"/>
  <c r="FM8" i="10"/>
  <c r="FI8" i="10"/>
  <c r="EX8" i="10"/>
  <c r="EN8" i="10"/>
  <c r="DH8" i="10"/>
  <c r="CI8" i="10"/>
  <c r="BL8" i="10"/>
  <c r="AT8" i="10"/>
  <c r="AQ8" i="10"/>
  <c r="AS8" i="10" s="1"/>
  <c r="V8" i="10"/>
  <c r="O8" i="10"/>
  <c r="J8" i="10"/>
  <c r="JI7" i="10"/>
  <c r="JG7" i="10"/>
  <c r="HS7" i="10"/>
  <c r="HQ7" i="10"/>
  <c r="GV7" i="10"/>
  <c r="GZ7" i="10" s="1"/>
  <c r="GQ7" i="10"/>
  <c r="GG7" i="10"/>
  <c r="FI7" i="10"/>
  <c r="EN7" i="10"/>
  <c r="EG7" i="10"/>
  <c r="EH7" i="10" s="1"/>
  <c r="DW7" i="10"/>
  <c r="DH7" i="10"/>
  <c r="DC7" i="10"/>
  <c r="CI7" i="10"/>
  <c r="BL7" i="10"/>
  <c r="AT7" i="10"/>
  <c r="AQ7" i="10"/>
  <c r="AS7" i="10" s="1"/>
  <c r="V7" i="10"/>
  <c r="O7" i="10"/>
  <c r="J7" i="10"/>
  <c r="JI6" i="10"/>
  <c r="JG6" i="10"/>
  <c r="HS6" i="10"/>
  <c r="HQ6" i="10"/>
  <c r="GV6" i="10"/>
  <c r="GZ6" i="10" s="1"/>
  <c r="GQ6" i="10"/>
  <c r="GG6" i="10"/>
  <c r="FI6" i="10"/>
  <c r="EN6" i="10"/>
  <c r="EH6" i="10"/>
  <c r="DW6" i="10"/>
  <c r="DH6" i="10"/>
  <c r="DB6" i="10"/>
  <c r="DA6" i="10"/>
  <c r="CZ6" i="10"/>
  <c r="CI6" i="10"/>
  <c r="BL6" i="10"/>
  <c r="BF6" i="10"/>
  <c r="AT6" i="10"/>
  <c r="AQ6" i="10"/>
  <c r="AS6" i="10" s="1"/>
  <c r="V6" i="10"/>
  <c r="O6" i="10"/>
  <c r="M6" i="10"/>
  <c r="J6" i="10"/>
  <c r="JI5" i="10"/>
  <c r="JG5" i="10"/>
  <c r="JF5" i="10"/>
  <c r="JF6" i="10" s="1"/>
  <c r="JF7" i="10" s="1"/>
  <c r="JF8" i="10" s="1"/>
  <c r="JF9" i="10" s="1"/>
  <c r="JF10" i="10" s="1"/>
  <c r="JF11" i="10" s="1"/>
  <c r="JF12" i="10" s="1"/>
  <c r="JF13" i="10" s="1"/>
  <c r="JF14" i="10" s="1"/>
  <c r="JF15" i="10" s="1"/>
  <c r="JF16" i="10" s="1"/>
  <c r="JF17" i="10" s="1"/>
  <c r="JF18" i="10" s="1"/>
  <c r="JF19" i="10" s="1"/>
  <c r="JF20" i="10" s="1"/>
  <c r="JF21" i="10" s="1"/>
  <c r="JF22" i="10" s="1"/>
  <c r="JF23" i="10" s="1"/>
  <c r="JF24" i="10" s="1"/>
  <c r="JF25" i="10" s="1"/>
  <c r="JF26" i="10" s="1"/>
  <c r="JF27" i="10" s="1"/>
  <c r="HS5" i="10"/>
  <c r="HQ5" i="10"/>
  <c r="HP5" i="10"/>
  <c r="HP6" i="10" s="1"/>
  <c r="HP7" i="10" s="1"/>
  <c r="HP8" i="10" s="1"/>
  <c r="HP9" i="10" s="1"/>
  <c r="HP10" i="10" s="1"/>
  <c r="HP11" i="10" s="1"/>
  <c r="HP12" i="10" s="1"/>
  <c r="HP13" i="10" s="1"/>
  <c r="HP14" i="10" s="1"/>
  <c r="HP15" i="10" s="1"/>
  <c r="HP16" i="10" s="1"/>
  <c r="HP17" i="10" s="1"/>
  <c r="HP18" i="10" s="1"/>
  <c r="HP19" i="10" s="1"/>
  <c r="HP20" i="10" s="1"/>
  <c r="HP21" i="10" s="1"/>
  <c r="HP22" i="10" s="1"/>
  <c r="HP23" i="10" s="1"/>
  <c r="HP24" i="10" s="1"/>
  <c r="HP25" i="10" s="1"/>
  <c r="HP26" i="10" s="1"/>
  <c r="HP27" i="10" s="1"/>
  <c r="GV5" i="10"/>
  <c r="GZ5" i="10" s="1"/>
  <c r="GU5" i="10"/>
  <c r="GU6" i="10" s="1"/>
  <c r="GU7" i="10" s="1"/>
  <c r="GU8" i="10" s="1"/>
  <c r="GU9" i="10" s="1"/>
  <c r="GU10" i="10" s="1"/>
  <c r="GU11" i="10" s="1"/>
  <c r="GU12" i="10" s="1"/>
  <c r="GU13" i="10" s="1"/>
  <c r="GU14" i="10" s="1"/>
  <c r="GU15" i="10" s="1"/>
  <c r="GU16" i="10" s="1"/>
  <c r="GU17" i="10" s="1"/>
  <c r="GU18" i="10" s="1"/>
  <c r="GU19" i="10" s="1"/>
  <c r="GU20" i="10" s="1"/>
  <c r="GU21" i="10" s="1"/>
  <c r="GU22" i="10" s="1"/>
  <c r="GU23" i="10" s="1"/>
  <c r="GU24" i="10" s="1"/>
  <c r="GU25" i="10" s="1"/>
  <c r="GU26" i="10" s="1"/>
  <c r="GU27" i="10" s="1"/>
  <c r="GQ5" i="10"/>
  <c r="GG5" i="10"/>
  <c r="GF5" i="10"/>
  <c r="GF6" i="10" s="1"/>
  <c r="GF7" i="10" s="1"/>
  <c r="GF8" i="10" s="1"/>
  <c r="GF9" i="10" s="1"/>
  <c r="GF10" i="10" s="1"/>
  <c r="GF11" i="10" s="1"/>
  <c r="GF12" i="10" s="1"/>
  <c r="GF13" i="10" s="1"/>
  <c r="GF14" i="10" s="1"/>
  <c r="GF15" i="10" s="1"/>
  <c r="GF16" i="10" s="1"/>
  <c r="GF17" i="10" s="1"/>
  <c r="GF18" i="10" s="1"/>
  <c r="GF19" i="10" s="1"/>
  <c r="GF20" i="10" s="1"/>
  <c r="GF21" i="10" s="1"/>
  <c r="GF22" i="10" s="1"/>
  <c r="GF23" i="10" s="1"/>
  <c r="GF24" i="10" s="1"/>
  <c r="GF25" i="10" s="1"/>
  <c r="GF26" i="10" s="1"/>
  <c r="GF27" i="10" s="1"/>
  <c r="FQ5" i="10"/>
  <c r="FI5" i="10"/>
  <c r="FH5" i="10"/>
  <c r="FH6" i="10" s="1"/>
  <c r="FH7" i="10" s="1"/>
  <c r="FH8" i="10" s="1"/>
  <c r="FH9" i="10" s="1"/>
  <c r="FH10" i="10" s="1"/>
  <c r="FH11" i="10" s="1"/>
  <c r="FH12" i="10" s="1"/>
  <c r="FH13" i="10" s="1"/>
  <c r="FH14" i="10" s="1"/>
  <c r="FH15" i="10" s="1"/>
  <c r="FH16" i="10" s="1"/>
  <c r="FH17" i="10" s="1"/>
  <c r="FH18" i="10" s="1"/>
  <c r="FH19" i="10" s="1"/>
  <c r="FH20" i="10" s="1"/>
  <c r="FH21" i="10" s="1"/>
  <c r="FH22" i="10" s="1"/>
  <c r="FH23" i="10" s="1"/>
  <c r="FH24" i="10" s="1"/>
  <c r="FH25" i="10" s="1"/>
  <c r="FH26" i="10" s="1"/>
  <c r="FH27" i="10" s="1"/>
  <c r="FH28" i="10" s="1"/>
  <c r="EN5" i="10"/>
  <c r="EM5" i="10"/>
  <c r="EM6" i="10" s="1"/>
  <c r="EM7" i="10" s="1"/>
  <c r="EM8" i="10" s="1"/>
  <c r="EM9" i="10" s="1"/>
  <c r="EM10" i="10" s="1"/>
  <c r="EM11" i="10" s="1"/>
  <c r="EM12" i="10" s="1"/>
  <c r="EM13" i="10" s="1"/>
  <c r="EM14" i="10" s="1"/>
  <c r="EM15" i="10" s="1"/>
  <c r="EM16" i="10" s="1"/>
  <c r="EM17" i="10" s="1"/>
  <c r="EM18" i="10" s="1"/>
  <c r="EM19" i="10" s="1"/>
  <c r="EM20" i="10" s="1"/>
  <c r="EM21" i="10" s="1"/>
  <c r="EM22" i="10" s="1"/>
  <c r="EM23" i="10" s="1"/>
  <c r="EM24" i="10" s="1"/>
  <c r="EM25" i="10" s="1"/>
  <c r="EM26" i="10" s="1"/>
  <c r="EM27" i="10" s="1"/>
  <c r="EM28" i="10" s="1"/>
  <c r="EH5" i="10"/>
  <c r="DW5" i="10"/>
  <c r="DV5" i="10"/>
  <c r="DV6" i="10" s="1"/>
  <c r="DV7" i="10" s="1"/>
  <c r="DV8" i="10" s="1"/>
  <c r="DV9" i="10" s="1"/>
  <c r="DV10" i="10" s="1"/>
  <c r="DV11" i="10" s="1"/>
  <c r="DV12" i="10" s="1"/>
  <c r="DV13" i="10" s="1"/>
  <c r="DV14" i="10" s="1"/>
  <c r="DV15" i="10" s="1"/>
  <c r="DV16" i="10" s="1"/>
  <c r="DV17" i="10" s="1"/>
  <c r="DV18" i="10" s="1"/>
  <c r="DV19" i="10" s="1"/>
  <c r="DV20" i="10" s="1"/>
  <c r="DV21" i="10" s="1"/>
  <c r="DV22" i="10" s="1"/>
  <c r="DV23" i="10" s="1"/>
  <c r="DV24" i="10" s="1"/>
  <c r="DV25" i="10" s="1"/>
  <c r="DV26" i="10" s="1"/>
  <c r="DV27" i="10" s="1"/>
  <c r="DV28" i="10" s="1"/>
  <c r="DH5" i="10"/>
  <c r="DG5" i="10"/>
  <c r="DG6" i="10" s="1"/>
  <c r="DG7" i="10" s="1"/>
  <c r="DG8" i="10" s="1"/>
  <c r="DG9" i="10" s="1"/>
  <c r="DG10" i="10" s="1"/>
  <c r="DG11" i="10" s="1"/>
  <c r="DG12" i="10" s="1"/>
  <c r="DG13" i="10" s="1"/>
  <c r="DG14" i="10" s="1"/>
  <c r="DG15" i="10" s="1"/>
  <c r="DG16" i="10" s="1"/>
  <c r="DG17" i="10" s="1"/>
  <c r="DG18" i="10" s="1"/>
  <c r="DG19" i="10" s="1"/>
  <c r="DG20" i="10" s="1"/>
  <c r="DG21" i="10" s="1"/>
  <c r="DG22" i="10" s="1"/>
  <c r="DG23" i="10" s="1"/>
  <c r="DG24" i="10" s="1"/>
  <c r="DG25" i="10" s="1"/>
  <c r="DG26" i="10" s="1"/>
  <c r="DG27" i="10" s="1"/>
  <c r="DG28" i="10" s="1"/>
  <c r="DB5" i="10"/>
  <c r="DA5" i="10"/>
  <c r="CZ5" i="10"/>
  <c r="CU5" i="10"/>
  <c r="CI5" i="10"/>
  <c r="CH5" i="10"/>
  <c r="CH6" i="10" s="1"/>
  <c r="CH7" i="10" s="1"/>
  <c r="CH8" i="10" s="1"/>
  <c r="CH9" i="10" s="1"/>
  <c r="CH10" i="10" s="1"/>
  <c r="CH11" i="10" s="1"/>
  <c r="CH12" i="10" s="1"/>
  <c r="CH13" i="10" s="1"/>
  <c r="CH14" i="10" s="1"/>
  <c r="CH15" i="10" s="1"/>
  <c r="CH16" i="10" s="1"/>
  <c r="CH17" i="10" s="1"/>
  <c r="CH18" i="10" s="1"/>
  <c r="CH19" i="10" s="1"/>
  <c r="CH20" i="10" s="1"/>
  <c r="CH21" i="10" s="1"/>
  <c r="CH22" i="10" s="1"/>
  <c r="CH23" i="10" s="1"/>
  <c r="CH24" i="10" s="1"/>
  <c r="CH25" i="10" s="1"/>
  <c r="CH26" i="10" s="1"/>
  <c r="CH27" i="10" s="1"/>
  <c r="CH28" i="10" s="1"/>
  <c r="BW5" i="10"/>
  <c r="BW6" i="10" s="1"/>
  <c r="BW7" i="10" s="1"/>
  <c r="BW8" i="10" s="1"/>
  <c r="BL5" i="10"/>
  <c r="BK5" i="10"/>
  <c r="BK6" i="10" s="1"/>
  <c r="BK7" i="10" s="1"/>
  <c r="BK8" i="10" s="1"/>
  <c r="BK9" i="10" s="1"/>
  <c r="BK10" i="10" s="1"/>
  <c r="BK11" i="10" s="1"/>
  <c r="BK12" i="10" s="1"/>
  <c r="BK13" i="10" s="1"/>
  <c r="BK14" i="10" s="1"/>
  <c r="BK15" i="10" s="1"/>
  <c r="BK16" i="10" s="1"/>
  <c r="BK17" i="10" s="1"/>
  <c r="BK18" i="10" s="1"/>
  <c r="BK19" i="10" s="1"/>
  <c r="BK20" i="10" s="1"/>
  <c r="BK21" i="10" s="1"/>
  <c r="BK22" i="10" s="1"/>
  <c r="BK23" i="10" s="1"/>
  <c r="BK24" i="10" s="1"/>
  <c r="BK25" i="10" s="1"/>
  <c r="BK26" i="10" s="1"/>
  <c r="BK27" i="10" s="1"/>
  <c r="BK28" i="10" s="1"/>
  <c r="AT5" i="10"/>
  <c r="AQ5" i="10"/>
  <c r="AS5" i="10" s="1"/>
  <c r="AP5" i="10"/>
  <c r="AP6" i="10" s="1"/>
  <c r="AP7" i="10" s="1"/>
  <c r="AP8" i="10" s="1"/>
  <c r="AP9" i="10" s="1"/>
  <c r="AP10" i="10" s="1"/>
  <c r="AP11" i="10" s="1"/>
  <c r="AP12" i="10" s="1"/>
  <c r="AP13" i="10" s="1"/>
  <c r="AP14" i="10" s="1"/>
  <c r="AP15" i="10" s="1"/>
  <c r="AP16" i="10" s="1"/>
  <c r="AP17" i="10" s="1"/>
  <c r="AP18" i="10" s="1"/>
  <c r="AP19" i="10" s="1"/>
  <c r="AP20" i="10" s="1"/>
  <c r="AP21" i="10" s="1"/>
  <c r="AP22" i="10" s="1"/>
  <c r="AP23" i="10" s="1"/>
  <c r="AP24" i="10" s="1"/>
  <c r="AP25" i="10" s="1"/>
  <c r="AP26" i="10" s="1"/>
  <c r="AP27" i="10" s="1"/>
  <c r="AP28" i="10" s="1"/>
  <c r="AJ5" i="10"/>
  <c r="AJ6" i="10" s="1"/>
  <c r="AJ7" i="10" s="1"/>
  <c r="AC5" i="10"/>
  <c r="AC6" i="10" s="1"/>
  <c r="AC7" i="10" s="1"/>
  <c r="AC8" i="10" s="1"/>
  <c r="AC9" i="10" s="1"/>
  <c r="AC10" i="10" s="1"/>
  <c r="AC11" i="10" s="1"/>
  <c r="AC12" i="10" s="1"/>
  <c r="AC13" i="10" s="1"/>
  <c r="AC14" i="10" s="1"/>
  <c r="AC15" i="10" s="1"/>
  <c r="AC16" i="10" s="1"/>
  <c r="AC17" i="10" s="1"/>
  <c r="AC18" i="10" s="1"/>
  <c r="AC19" i="10" s="1"/>
  <c r="AC20" i="10" s="1"/>
  <c r="AC21" i="10" s="1"/>
  <c r="AC22" i="10" s="1"/>
  <c r="AC23" i="10" s="1"/>
  <c r="AC24" i="10" s="1"/>
  <c r="AC25" i="10" s="1"/>
  <c r="AC26" i="10" s="1"/>
  <c r="AC27" i="10" s="1"/>
  <c r="V5" i="10"/>
  <c r="U5" i="10"/>
  <c r="U6" i="10" s="1"/>
  <c r="U7" i="10" s="1"/>
  <c r="U8" i="10" s="1"/>
  <c r="U9" i="10" s="1"/>
  <c r="U10" i="10" s="1"/>
  <c r="U11" i="10" s="1"/>
  <c r="U12" i="10" s="1"/>
  <c r="U13" i="10" s="1"/>
  <c r="U14" i="10" s="1"/>
  <c r="U15" i="10" s="1"/>
  <c r="U16" i="10" s="1"/>
  <c r="U17" i="10" s="1"/>
  <c r="U18" i="10" s="1"/>
  <c r="U19" i="10" s="1"/>
  <c r="U20" i="10" s="1"/>
  <c r="U21" i="10" s="1"/>
  <c r="U22" i="10" s="1"/>
  <c r="U23" i="10" s="1"/>
  <c r="U24" i="10" s="1"/>
  <c r="U25" i="10" s="1"/>
  <c r="U26" i="10" s="1"/>
  <c r="U27" i="10" s="1"/>
  <c r="U28" i="10" s="1"/>
  <c r="O5" i="10"/>
  <c r="M5" i="10"/>
  <c r="J5" i="10"/>
  <c r="I5" i="10"/>
  <c r="I6" i="10" s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JI4" i="10"/>
  <c r="JG4" i="10"/>
  <c r="IC4" i="10"/>
  <c r="HS4" i="10"/>
  <c r="HQ4" i="10"/>
  <c r="GV4" i="10"/>
  <c r="GZ4" i="10" s="1"/>
  <c r="GQ4" i="10"/>
  <c r="GQ28" i="10" s="1"/>
  <c r="GG4" i="10"/>
  <c r="FI4" i="10"/>
  <c r="EN4" i="10"/>
  <c r="EH4" i="10"/>
  <c r="DW4" i="10"/>
  <c r="DH4" i="10"/>
  <c r="DB4" i="10"/>
  <c r="DB7" i="10" s="1"/>
  <c r="DO28" i="10" s="1"/>
  <c r="DA4" i="10"/>
  <c r="DA7" i="10" s="1"/>
  <c r="DM28" i="10" s="1"/>
  <c r="CZ4" i="10"/>
  <c r="CZ7" i="10" s="1"/>
  <c r="DK28" i="10" s="1"/>
  <c r="CI4" i="10"/>
  <c r="BL4" i="10"/>
  <c r="BE4" i="10"/>
  <c r="AT4" i="10"/>
  <c r="AQ4" i="10"/>
  <c r="V4" i="10"/>
  <c r="O4" i="10"/>
  <c r="M4" i="10"/>
  <c r="J4" i="10"/>
  <c r="JH2" i="10"/>
  <c r="HR2" i="10"/>
  <c r="FK2" i="10"/>
  <c r="DB2" i="10"/>
  <c r="DA2" i="10"/>
  <c r="CZ2" i="10"/>
  <c r="BP2" i="10"/>
  <c r="BN2" i="10"/>
  <c r="ML35" i="9"/>
  <c r="FO35" i="9"/>
  <c r="FN35" i="9"/>
  <c r="FM35" i="9"/>
  <c r="FP35" i="9" s="1"/>
  <c r="ML34" i="9"/>
  <c r="FP34" i="9"/>
  <c r="FP33" i="9"/>
  <c r="ML32" i="9"/>
  <c r="ML31" i="9"/>
  <c r="FO31" i="9"/>
  <c r="FN31" i="9"/>
  <c r="FM31" i="9"/>
  <c r="FP31" i="9" s="1"/>
  <c r="FP30" i="9"/>
  <c r="ME29" i="9"/>
  <c r="FP29" i="9"/>
  <c r="FP28" i="9"/>
  <c r="MO27" i="9"/>
  <c r="MP27" i="9" s="1"/>
  <c r="MF27" i="9"/>
  <c r="FP27" i="9"/>
  <c r="MN26" i="9"/>
  <c r="MO26" i="9" s="1"/>
  <c r="MP26" i="9" s="1"/>
  <c r="MF26" i="9"/>
  <c r="KB26" i="9"/>
  <c r="JS26" i="9"/>
  <c r="JI26" i="9"/>
  <c r="IV26" i="9"/>
  <c r="IT26" i="9"/>
  <c r="IR26" i="9"/>
  <c r="IP26" i="9"/>
  <c r="IO26" i="9"/>
  <c r="IN26" i="9"/>
  <c r="IL26" i="9"/>
  <c r="IJ26" i="9"/>
  <c r="IH26" i="9"/>
  <c r="IX26" i="9" s="1"/>
  <c r="HX26" i="9"/>
  <c r="HX27" i="9" s="1"/>
  <c r="HW26" i="9"/>
  <c r="HV26" i="9"/>
  <c r="HV27" i="9" s="1"/>
  <c r="HU26" i="9"/>
  <c r="HT26" i="9"/>
  <c r="HS26" i="9"/>
  <c r="HQ26" i="9"/>
  <c r="HY26" i="9" s="1"/>
  <c r="HE26" i="9"/>
  <c r="HD26" i="9"/>
  <c r="HC26" i="9"/>
  <c r="HF26" i="9" s="1"/>
  <c r="IF26" i="9" s="1"/>
  <c r="HB26" i="9"/>
  <c r="FP26" i="9"/>
  <c r="ML25" i="9"/>
  <c r="KB25" i="9"/>
  <c r="KA25" i="9"/>
  <c r="JY25" i="9"/>
  <c r="JW25" i="9"/>
  <c r="JS25" i="9"/>
  <c r="JH25" i="9"/>
  <c r="JF25" i="9"/>
  <c r="JG25" i="9" s="1"/>
  <c r="JJ25" i="9" s="1"/>
  <c r="KJ26" i="9" s="1"/>
  <c r="KS26" i="9" s="1"/>
  <c r="IX25" i="9"/>
  <c r="LL25" i="9" s="1"/>
  <c r="HY25" i="9"/>
  <c r="LI25" i="9" s="1"/>
  <c r="LO25" i="9" s="1"/>
  <c r="HP25" i="9"/>
  <c r="HR25" i="9" s="1"/>
  <c r="HG25" i="9"/>
  <c r="HF25" i="9"/>
  <c r="IF25" i="9" s="1"/>
  <c r="IM25" i="9" s="1"/>
  <c r="KQ26" i="9" s="1"/>
  <c r="H25" i="9"/>
  <c r="F25" i="9"/>
  <c r="ML24" i="9"/>
  <c r="KB24" i="9"/>
  <c r="KA24" i="9"/>
  <c r="JY24" i="9"/>
  <c r="JW24" i="9"/>
  <c r="JS24" i="9"/>
  <c r="JH24" i="9"/>
  <c r="JF24" i="9"/>
  <c r="JG24" i="9" s="1"/>
  <c r="JJ24" i="9" s="1"/>
  <c r="KJ25" i="9" s="1"/>
  <c r="KS25" i="9" s="1"/>
  <c r="IX24" i="9"/>
  <c r="LL24" i="9" s="1"/>
  <c r="HY24" i="9"/>
  <c r="LI24" i="9" s="1"/>
  <c r="LO24" i="9" s="1"/>
  <c r="HG24" i="9"/>
  <c r="HF24" i="9"/>
  <c r="IF24" i="9" s="1"/>
  <c r="IM24" i="9" s="1"/>
  <c r="KQ25" i="9" s="1"/>
  <c r="FO24" i="9"/>
  <c r="FN24" i="9"/>
  <c r="FM24" i="9"/>
  <c r="FP24" i="9" s="1"/>
  <c r="N24" i="9"/>
  <c r="K24" i="9"/>
  <c r="ML23" i="9"/>
  <c r="KB23" i="9"/>
  <c r="KA23" i="9"/>
  <c r="JY23" i="9"/>
  <c r="JW23" i="9"/>
  <c r="JS23" i="9"/>
  <c r="JJ23" i="9"/>
  <c r="KJ24" i="9" s="1"/>
  <c r="KS24" i="9" s="1"/>
  <c r="JH23" i="9"/>
  <c r="JG23" i="9"/>
  <c r="JF23" i="9"/>
  <c r="IX23" i="9"/>
  <c r="LL23" i="9" s="1"/>
  <c r="HY23" i="9"/>
  <c r="LI23" i="9" s="1"/>
  <c r="LO23" i="9" s="1"/>
  <c r="HG23" i="9"/>
  <c r="HF23" i="9"/>
  <c r="IF23" i="9" s="1"/>
  <c r="IM23" i="9" s="1"/>
  <c r="KQ24" i="9" s="1"/>
  <c r="FP23" i="9"/>
  <c r="CF23" i="9"/>
  <c r="CI23" i="9" s="1"/>
  <c r="CJ23" i="9" s="1"/>
  <c r="KB22" i="9"/>
  <c r="KA22" i="9"/>
  <c r="JY22" i="9"/>
  <c r="JW22" i="9"/>
  <c r="JS22" i="9"/>
  <c r="JH22" i="9"/>
  <c r="JG22" i="9"/>
  <c r="JJ22" i="9" s="1"/>
  <c r="KJ23" i="9" s="1"/>
  <c r="KS23" i="9" s="1"/>
  <c r="JF22" i="9"/>
  <c r="IX22" i="9"/>
  <c r="LL22" i="9" s="1"/>
  <c r="HY22" i="9"/>
  <c r="LI22" i="9" s="1"/>
  <c r="LO22" i="9" s="1"/>
  <c r="HP22" i="9"/>
  <c r="HR22" i="9" s="1"/>
  <c r="HG22" i="9"/>
  <c r="IG22" i="9" s="1"/>
  <c r="HF22" i="9"/>
  <c r="IF22" i="9" s="1"/>
  <c r="IM22" i="9" s="1"/>
  <c r="KQ23" i="9" s="1"/>
  <c r="FP22" i="9"/>
  <c r="ML21" i="9"/>
  <c r="KB21" i="9"/>
  <c r="KA21" i="9"/>
  <c r="JY21" i="9"/>
  <c r="JW21" i="9"/>
  <c r="JS21" i="9"/>
  <c r="JH21" i="9"/>
  <c r="JF21" i="9"/>
  <c r="JG21" i="9" s="1"/>
  <c r="JJ21" i="9" s="1"/>
  <c r="KJ22" i="9" s="1"/>
  <c r="KS22" i="9" s="1"/>
  <c r="IX21" i="9"/>
  <c r="LL21" i="9" s="1"/>
  <c r="HY21" i="9"/>
  <c r="LI21" i="9" s="1"/>
  <c r="LO21" i="9" s="1"/>
  <c r="HG21" i="9"/>
  <c r="HF21" i="9"/>
  <c r="IF21" i="9" s="1"/>
  <c r="IM21" i="9" s="1"/>
  <c r="KQ22" i="9" s="1"/>
  <c r="ML20" i="9"/>
  <c r="KA20" i="9"/>
  <c r="JY20" i="9"/>
  <c r="JW20" i="9"/>
  <c r="JS20" i="9"/>
  <c r="JH20" i="9"/>
  <c r="JF20" i="9"/>
  <c r="JG20" i="9" s="1"/>
  <c r="JJ20" i="9" s="1"/>
  <c r="KJ21" i="9" s="1"/>
  <c r="KS21" i="9" s="1"/>
  <c r="IX20" i="9"/>
  <c r="LL20" i="9" s="1"/>
  <c r="HY20" i="9"/>
  <c r="LI20" i="9" s="1"/>
  <c r="LO20" i="9" s="1"/>
  <c r="HG20" i="9"/>
  <c r="HF20" i="9"/>
  <c r="IF20" i="9" s="1"/>
  <c r="IM20" i="9" s="1"/>
  <c r="KQ21" i="9" s="1"/>
  <c r="FO20" i="9"/>
  <c r="FO36" i="9" s="1"/>
  <c r="FN20" i="9"/>
  <c r="FN36" i="9" s="1"/>
  <c r="FM20" i="9"/>
  <c r="CE20" i="9"/>
  <c r="CB20" i="9"/>
  <c r="BY20" i="9"/>
  <c r="BV20" i="9"/>
  <c r="BR20" i="9"/>
  <c r="BN20" i="9"/>
  <c r="BJ20" i="9"/>
  <c r="BF20" i="9"/>
  <c r="BB20" i="9"/>
  <c r="AX20" i="9"/>
  <c r="H20" i="9"/>
  <c r="ML19" i="9"/>
  <c r="KA19" i="9"/>
  <c r="JY19" i="9"/>
  <c r="JW19" i="9"/>
  <c r="JS19" i="9"/>
  <c r="JH19" i="9"/>
  <c r="JF19" i="9"/>
  <c r="JG19" i="9" s="1"/>
  <c r="JJ19" i="9" s="1"/>
  <c r="KJ20" i="9" s="1"/>
  <c r="KS20" i="9" s="1"/>
  <c r="IX19" i="9"/>
  <c r="LL19" i="9" s="1"/>
  <c r="HY19" i="9"/>
  <c r="LI19" i="9" s="1"/>
  <c r="LO19" i="9" s="1"/>
  <c r="HG19" i="9"/>
  <c r="HF19" i="9"/>
  <c r="IF19" i="9" s="1"/>
  <c r="IM19" i="9" s="1"/>
  <c r="KQ20" i="9" s="1"/>
  <c r="FP19" i="9"/>
  <c r="CE19" i="9"/>
  <c r="CB19" i="9"/>
  <c r="BY19" i="9"/>
  <c r="BV19" i="9"/>
  <c r="BR19" i="9"/>
  <c r="BN19" i="9"/>
  <c r="BJ19" i="9"/>
  <c r="BF19" i="9"/>
  <c r="BB19" i="9"/>
  <c r="AX19" i="9"/>
  <c r="ML18" i="9"/>
  <c r="KA18" i="9"/>
  <c r="JY18" i="9"/>
  <c r="JW18" i="9"/>
  <c r="JS18" i="9"/>
  <c r="JH18" i="9"/>
  <c r="JF18" i="9"/>
  <c r="JG18" i="9" s="1"/>
  <c r="JJ18" i="9" s="1"/>
  <c r="KJ19" i="9" s="1"/>
  <c r="KS19" i="9" s="1"/>
  <c r="IX18" i="9"/>
  <c r="LL18" i="9" s="1"/>
  <c r="HY18" i="9"/>
  <c r="LI18" i="9" s="1"/>
  <c r="LO18" i="9" s="1"/>
  <c r="HG18" i="9"/>
  <c r="HF18" i="9"/>
  <c r="IF18" i="9" s="1"/>
  <c r="IM18" i="9" s="1"/>
  <c r="KQ19" i="9" s="1"/>
  <c r="FP18" i="9"/>
  <c r="CE18" i="9"/>
  <c r="CB18" i="9"/>
  <c r="BY18" i="9"/>
  <c r="BV18" i="9"/>
  <c r="BR18" i="9"/>
  <c r="BN18" i="9"/>
  <c r="BJ18" i="9"/>
  <c r="BF18" i="9"/>
  <c r="BB18" i="9"/>
  <c r="AX18" i="9"/>
  <c r="ML17" i="9"/>
  <c r="KA17" i="9"/>
  <c r="JY17" i="9"/>
  <c r="JW17" i="9"/>
  <c r="JS17" i="9"/>
  <c r="JH17" i="9"/>
  <c r="JF17" i="9"/>
  <c r="JG17" i="9" s="1"/>
  <c r="JJ17" i="9" s="1"/>
  <c r="KJ18" i="9" s="1"/>
  <c r="KS18" i="9" s="1"/>
  <c r="IX17" i="9"/>
  <c r="LL17" i="9" s="1"/>
  <c r="HY17" i="9"/>
  <c r="LI17" i="9" s="1"/>
  <c r="LO17" i="9" s="1"/>
  <c r="HG17" i="9"/>
  <c r="HF17" i="9"/>
  <c r="IF17" i="9" s="1"/>
  <c r="IM17" i="9" s="1"/>
  <c r="KQ18" i="9" s="1"/>
  <c r="FP17" i="9"/>
  <c r="CE17" i="9"/>
  <c r="CB17" i="9"/>
  <c r="BY17" i="9"/>
  <c r="BV17" i="9"/>
  <c r="BR17" i="9"/>
  <c r="BN17" i="9"/>
  <c r="BJ17" i="9"/>
  <c r="BF17" i="9"/>
  <c r="BB17" i="9"/>
  <c r="AX17" i="9"/>
  <c r="K17" i="9"/>
  <c r="ML16" i="9"/>
  <c r="KB16" i="9"/>
  <c r="KA16" i="9"/>
  <c r="JY16" i="9"/>
  <c r="JW16" i="9"/>
  <c r="JS16" i="9"/>
  <c r="JH16" i="9"/>
  <c r="JF16" i="9"/>
  <c r="JG16" i="9" s="1"/>
  <c r="JJ16" i="9" s="1"/>
  <c r="KJ17" i="9" s="1"/>
  <c r="KS17" i="9" s="1"/>
  <c r="IX16" i="9"/>
  <c r="LL16" i="9" s="1"/>
  <c r="HY16" i="9"/>
  <c r="LI16" i="9" s="1"/>
  <c r="LO16" i="9" s="1"/>
  <c r="HG16" i="9"/>
  <c r="HF16" i="9"/>
  <c r="IF16" i="9" s="1"/>
  <c r="IM16" i="9" s="1"/>
  <c r="KQ17" i="9" s="1"/>
  <c r="FP16" i="9"/>
  <c r="CE16" i="9"/>
  <c r="CB16" i="9"/>
  <c r="BY16" i="9"/>
  <c r="BV16" i="9"/>
  <c r="BR16" i="9"/>
  <c r="BN16" i="9"/>
  <c r="BJ16" i="9"/>
  <c r="BF16" i="9"/>
  <c r="BB16" i="9"/>
  <c r="AX16" i="9"/>
  <c r="AN16" i="9"/>
  <c r="AN17" i="9" s="1"/>
  <c r="AN18" i="9" s="1"/>
  <c r="AN19" i="9" s="1"/>
  <c r="AN20" i="9" s="1"/>
  <c r="H16" i="9"/>
  <c r="F16" i="9"/>
  <c r="ML15" i="9"/>
  <c r="KB15" i="9"/>
  <c r="KA15" i="9"/>
  <c r="JY15" i="9"/>
  <c r="JW15" i="9"/>
  <c r="JS15" i="9"/>
  <c r="JH15" i="9"/>
  <c r="JF15" i="9"/>
  <c r="JG15" i="9" s="1"/>
  <c r="JJ15" i="9" s="1"/>
  <c r="KJ16" i="9" s="1"/>
  <c r="KS16" i="9" s="1"/>
  <c r="IX15" i="9"/>
  <c r="LL15" i="9" s="1"/>
  <c r="HY15" i="9"/>
  <c r="LI15" i="9" s="1"/>
  <c r="LO15" i="9" s="1"/>
  <c r="HG15" i="9"/>
  <c r="HF15" i="9"/>
  <c r="IF15" i="9" s="1"/>
  <c r="IM15" i="9" s="1"/>
  <c r="KQ16" i="9" s="1"/>
  <c r="FP15" i="9"/>
  <c r="CF15" i="9"/>
  <c r="CI15" i="9" s="1"/>
  <c r="CJ15" i="9" s="1"/>
  <c r="CE15" i="9"/>
  <c r="CB15" i="9"/>
  <c r="BY15" i="9"/>
  <c r="BV15" i="9"/>
  <c r="BR15" i="9"/>
  <c r="BN15" i="9"/>
  <c r="BJ15" i="9"/>
  <c r="BF15" i="9"/>
  <c r="BB15" i="9"/>
  <c r="AX15" i="9"/>
  <c r="H15" i="9"/>
  <c r="F15" i="9"/>
  <c r="ML14" i="9"/>
  <c r="KB14" i="9"/>
  <c r="KA14" i="9"/>
  <c r="JY14" i="9"/>
  <c r="JW14" i="9"/>
  <c r="JS14" i="9"/>
  <c r="JH14" i="9"/>
  <c r="JF14" i="9"/>
  <c r="JG14" i="9" s="1"/>
  <c r="JJ14" i="9" s="1"/>
  <c r="KJ15" i="9" s="1"/>
  <c r="KS15" i="9" s="1"/>
  <c r="IX14" i="9"/>
  <c r="LL14" i="9" s="1"/>
  <c r="HY14" i="9"/>
  <c r="LI14" i="9" s="1"/>
  <c r="LO14" i="9" s="1"/>
  <c r="HG14" i="9"/>
  <c r="HF14" i="9"/>
  <c r="IF14" i="9" s="1"/>
  <c r="IM14" i="9" s="1"/>
  <c r="KQ15" i="9" s="1"/>
  <c r="FP14" i="9"/>
  <c r="CF14" i="9"/>
  <c r="CI14" i="9" s="1"/>
  <c r="CJ14" i="9" s="1"/>
  <c r="CE14" i="9"/>
  <c r="CB14" i="9"/>
  <c r="BY14" i="9"/>
  <c r="BV14" i="9"/>
  <c r="BR14" i="9"/>
  <c r="BN14" i="9"/>
  <c r="BJ14" i="9"/>
  <c r="BF14" i="9"/>
  <c r="BB14" i="9"/>
  <c r="AX14" i="9"/>
  <c r="ML13" i="9"/>
  <c r="KB13" i="9"/>
  <c r="KA13" i="9"/>
  <c r="JY13" i="9"/>
  <c r="JW13" i="9"/>
  <c r="JS13" i="9"/>
  <c r="JH13" i="9"/>
  <c r="JF13" i="9"/>
  <c r="JG13" i="9" s="1"/>
  <c r="JJ13" i="9" s="1"/>
  <c r="KJ14" i="9" s="1"/>
  <c r="KS14" i="9" s="1"/>
  <c r="IX13" i="9"/>
  <c r="LL13" i="9" s="1"/>
  <c r="HY13" i="9"/>
  <c r="LI13" i="9" s="1"/>
  <c r="LO13" i="9" s="1"/>
  <c r="HG13" i="9"/>
  <c r="HF13" i="9"/>
  <c r="IF13" i="9" s="1"/>
  <c r="IM13" i="9" s="1"/>
  <c r="KQ14" i="9" s="1"/>
  <c r="FP13" i="9"/>
  <c r="CE13" i="9"/>
  <c r="CB13" i="9"/>
  <c r="BY13" i="9"/>
  <c r="BV13" i="9"/>
  <c r="BR13" i="9"/>
  <c r="BN13" i="9"/>
  <c r="BJ13" i="9"/>
  <c r="BF13" i="9"/>
  <c r="BB13" i="9"/>
  <c r="AX13" i="9"/>
  <c r="ML12" i="9"/>
  <c r="KB12" i="9"/>
  <c r="KA12" i="9"/>
  <c r="JY12" i="9"/>
  <c r="JW12" i="9"/>
  <c r="JS12" i="9"/>
  <c r="JH12" i="9"/>
  <c r="JF12" i="9"/>
  <c r="JG12" i="9" s="1"/>
  <c r="JJ12" i="9" s="1"/>
  <c r="KJ13" i="9" s="1"/>
  <c r="KS13" i="9" s="1"/>
  <c r="IX12" i="9"/>
  <c r="LL12" i="9" s="1"/>
  <c r="HY12" i="9"/>
  <c r="LI12" i="9" s="1"/>
  <c r="LO12" i="9" s="1"/>
  <c r="HP12" i="9"/>
  <c r="HR12" i="9" s="1"/>
  <c r="HG12" i="9"/>
  <c r="IG12" i="9" s="1"/>
  <c r="HF12" i="9"/>
  <c r="IF12" i="9" s="1"/>
  <c r="IM12" i="9" s="1"/>
  <c r="KQ13" i="9" s="1"/>
  <c r="GG12" i="9"/>
  <c r="GF12" i="9"/>
  <c r="GE12" i="9"/>
  <c r="GC12" i="9"/>
  <c r="GB12" i="9"/>
  <c r="GA12" i="9"/>
  <c r="FP12" i="9"/>
  <c r="EC12" i="9"/>
  <c r="H17" i="9" s="1"/>
  <c r="EB12" i="9"/>
  <c r="EA12" i="9"/>
  <c r="DZ12" i="9"/>
  <c r="DY12" i="9"/>
  <c r="F17" i="9" s="1"/>
  <c r="DX12" i="9"/>
  <c r="DW12" i="9"/>
  <c r="DV12" i="9"/>
  <c r="Z12" i="9"/>
  <c r="Y12" i="9"/>
  <c r="X12" i="9"/>
  <c r="ML11" i="9"/>
  <c r="MC11" i="9"/>
  <c r="KB11" i="9"/>
  <c r="KA11" i="9"/>
  <c r="JY11" i="9"/>
  <c r="JW11" i="9"/>
  <c r="JS11" i="9"/>
  <c r="JH11" i="9"/>
  <c r="JF11" i="9"/>
  <c r="JG11" i="9" s="1"/>
  <c r="JJ11" i="9" s="1"/>
  <c r="KJ12" i="9" s="1"/>
  <c r="KS12" i="9" s="1"/>
  <c r="IX11" i="9"/>
  <c r="LL11" i="9" s="1"/>
  <c r="HY11" i="9"/>
  <c r="LI11" i="9" s="1"/>
  <c r="LO11" i="9" s="1"/>
  <c r="HG11" i="9"/>
  <c r="HF11" i="9"/>
  <c r="IF11" i="9" s="1"/>
  <c r="IM11" i="9" s="1"/>
  <c r="KQ12" i="9" s="1"/>
  <c r="GH11" i="9"/>
  <c r="GD11" i="9"/>
  <c r="FP11" i="9"/>
  <c r="CE11" i="9"/>
  <c r="CB11" i="9"/>
  <c r="BY11" i="9"/>
  <c r="BV11" i="9"/>
  <c r="BR11" i="9"/>
  <c r="BN11" i="9"/>
  <c r="BJ11" i="9"/>
  <c r="BF11" i="9"/>
  <c r="BB11" i="9"/>
  <c r="AX11" i="9"/>
  <c r="AJ11" i="9"/>
  <c r="AI11" i="9"/>
  <c r="AH11" i="9"/>
  <c r="N11" i="9"/>
  <c r="M11" i="9"/>
  <c r="L11" i="9"/>
  <c r="J11" i="9"/>
  <c r="ML10" i="9"/>
  <c r="KB10" i="9"/>
  <c r="KA10" i="9"/>
  <c r="JY10" i="9"/>
  <c r="JW10" i="9"/>
  <c r="JS10" i="9"/>
  <c r="JH10" i="9"/>
  <c r="JF10" i="9"/>
  <c r="JG10" i="9" s="1"/>
  <c r="JJ10" i="9" s="1"/>
  <c r="KJ11" i="9" s="1"/>
  <c r="KS11" i="9" s="1"/>
  <c r="IX10" i="9"/>
  <c r="LL10" i="9" s="1"/>
  <c r="HY10" i="9"/>
  <c r="LI10" i="9" s="1"/>
  <c r="LO10" i="9" s="1"/>
  <c r="HG10" i="9"/>
  <c r="HF10" i="9"/>
  <c r="IF10" i="9" s="1"/>
  <c r="IM10" i="9" s="1"/>
  <c r="KQ11" i="9" s="1"/>
  <c r="GH10" i="9"/>
  <c r="GD10" i="9"/>
  <c r="FP10" i="9"/>
  <c r="CE10" i="9"/>
  <c r="CB10" i="9"/>
  <c r="BY10" i="9"/>
  <c r="BV10" i="9"/>
  <c r="BR10" i="9"/>
  <c r="BN10" i="9"/>
  <c r="BJ10" i="9"/>
  <c r="BF10" i="9"/>
  <c r="BB10" i="9"/>
  <c r="AX10" i="9"/>
  <c r="AA10" i="9"/>
  <c r="ML9" i="9"/>
  <c r="MK9" i="9"/>
  <c r="MK10" i="9" s="1"/>
  <c r="MK11" i="9" s="1"/>
  <c r="MK12" i="9" s="1"/>
  <c r="MK13" i="9" s="1"/>
  <c r="MK14" i="9" s="1"/>
  <c r="MK15" i="9" s="1"/>
  <c r="MK16" i="9" s="1"/>
  <c r="MK17" i="9" s="1"/>
  <c r="MK18" i="9" s="1"/>
  <c r="MK19" i="9" s="1"/>
  <c r="MK20" i="9" s="1"/>
  <c r="MK21" i="9" s="1"/>
  <c r="MK22" i="9" s="1"/>
  <c r="MK23" i="9" s="1"/>
  <c r="MK24" i="9" s="1"/>
  <c r="MK25" i="9" s="1"/>
  <c r="MK26" i="9" s="1"/>
  <c r="MK27" i="9" s="1"/>
  <c r="MK28" i="9" s="1"/>
  <c r="MK29" i="9" s="1"/>
  <c r="MK30" i="9" s="1"/>
  <c r="MK31" i="9" s="1"/>
  <c r="MK32" i="9" s="1"/>
  <c r="MK34" i="9" s="1"/>
  <c r="MK35" i="9" s="1"/>
  <c r="MA9" i="9"/>
  <c r="MA10" i="9" s="1"/>
  <c r="MA11" i="9" s="1"/>
  <c r="MA12" i="9" s="1"/>
  <c r="MA13" i="9" s="1"/>
  <c r="MA14" i="9" s="1"/>
  <c r="MA15" i="9" s="1"/>
  <c r="MA16" i="9" s="1"/>
  <c r="MA17" i="9" s="1"/>
  <c r="MA18" i="9" s="1"/>
  <c r="MA19" i="9" s="1"/>
  <c r="MA20" i="9" s="1"/>
  <c r="MA21" i="9" s="1"/>
  <c r="MA22" i="9" s="1"/>
  <c r="MA23" i="9" s="1"/>
  <c r="MA24" i="9" s="1"/>
  <c r="MA25" i="9" s="1"/>
  <c r="MA26" i="9" s="1"/>
  <c r="MA27" i="9" s="1"/>
  <c r="MA28" i="9" s="1"/>
  <c r="MA29" i="9" s="1"/>
  <c r="MA30" i="9" s="1"/>
  <c r="MA31" i="9" s="1"/>
  <c r="MA32" i="9" s="1"/>
  <c r="MA34" i="9" s="1"/>
  <c r="MA35" i="9" s="1"/>
  <c r="KB9" i="9"/>
  <c r="KA9" i="9"/>
  <c r="JY9" i="9"/>
  <c r="JW9" i="9"/>
  <c r="JS9" i="9"/>
  <c r="JH9" i="9"/>
  <c r="JF9" i="9"/>
  <c r="JG9" i="9" s="1"/>
  <c r="JJ9" i="9" s="1"/>
  <c r="KJ10" i="9" s="1"/>
  <c r="KS10" i="9" s="1"/>
  <c r="IX9" i="9"/>
  <c r="LL9" i="9" s="1"/>
  <c r="HY9" i="9"/>
  <c r="LI9" i="9" s="1"/>
  <c r="LO9" i="9" s="1"/>
  <c r="HG9" i="9"/>
  <c r="HF9" i="9"/>
  <c r="IF9" i="9" s="1"/>
  <c r="IM9" i="9" s="1"/>
  <c r="KQ10" i="9" s="1"/>
  <c r="GT9" i="9"/>
  <c r="GS9" i="9"/>
  <c r="GU9" i="9" s="1"/>
  <c r="GR9" i="9"/>
  <c r="GP9" i="9"/>
  <c r="GO9" i="9"/>
  <c r="GN9" i="9"/>
  <c r="GQ9" i="9" s="1"/>
  <c r="GH9" i="9"/>
  <c r="GD9" i="9"/>
  <c r="FP9" i="9"/>
  <c r="FJ9" i="9"/>
  <c r="FJ10" i="9" s="1"/>
  <c r="FJ11" i="9" s="1"/>
  <c r="FJ12" i="9" s="1"/>
  <c r="FJ13" i="9" s="1"/>
  <c r="FJ14" i="9" s="1"/>
  <c r="FJ15" i="9" s="1"/>
  <c r="FJ16" i="9" s="1"/>
  <c r="FJ17" i="9" s="1"/>
  <c r="FJ18" i="9" s="1"/>
  <c r="FJ19" i="9" s="1"/>
  <c r="FJ20" i="9" s="1"/>
  <c r="FJ21" i="9" s="1"/>
  <c r="FJ22" i="9" s="1"/>
  <c r="FJ23" i="9" s="1"/>
  <c r="FJ24" i="9" s="1"/>
  <c r="FJ25" i="9" s="1"/>
  <c r="FJ26" i="9" s="1"/>
  <c r="FJ27" i="9" s="1"/>
  <c r="FJ28" i="9" s="1"/>
  <c r="FJ29" i="9" s="1"/>
  <c r="FJ30" i="9" s="1"/>
  <c r="FJ31" i="9" s="1"/>
  <c r="FJ32" i="9" s="1"/>
  <c r="FJ33" i="9" s="1"/>
  <c r="FJ34" i="9" s="1"/>
  <c r="FJ35" i="9" s="1"/>
  <c r="FJ36" i="9" s="1"/>
  <c r="FF9" i="9"/>
  <c r="H19" i="9" s="1"/>
  <c r="FB9" i="9"/>
  <c r="FA9" i="9"/>
  <c r="EZ9" i="9"/>
  <c r="EX9" i="9"/>
  <c r="EW9" i="9"/>
  <c r="EV9" i="9"/>
  <c r="EO9" i="9"/>
  <c r="EN9" i="9"/>
  <c r="EM9" i="9"/>
  <c r="EK9" i="9"/>
  <c r="EJ9" i="9"/>
  <c r="EI9" i="9"/>
  <c r="DP9" i="9"/>
  <c r="DO9" i="9"/>
  <c r="DN9" i="9"/>
  <c r="DM9" i="9"/>
  <c r="DG9" i="9"/>
  <c r="DF9" i="9"/>
  <c r="DE9" i="9"/>
  <c r="DD9" i="9"/>
  <c r="DC9" i="9"/>
  <c r="CV9" i="9"/>
  <c r="CU9" i="9"/>
  <c r="CT9" i="9"/>
  <c r="CR9" i="9"/>
  <c r="CQ9" i="9"/>
  <c r="CP9" i="9"/>
  <c r="CE9" i="9"/>
  <c r="CB9" i="9"/>
  <c r="BY9" i="9"/>
  <c r="BV9" i="9"/>
  <c r="BR9" i="9"/>
  <c r="BN9" i="9"/>
  <c r="BJ9" i="9"/>
  <c r="BF9" i="9"/>
  <c r="BB9" i="9"/>
  <c r="AX9" i="9"/>
  <c r="K9" i="9"/>
  <c r="ML8" i="9"/>
  <c r="MK8" i="9"/>
  <c r="MA8" i="9"/>
  <c r="KB8" i="9"/>
  <c r="KA8" i="9"/>
  <c r="JY8" i="9"/>
  <c r="JW8" i="9"/>
  <c r="JS8" i="9"/>
  <c r="JH8" i="9"/>
  <c r="JF8" i="9"/>
  <c r="JJ8" i="9" s="1"/>
  <c r="KJ9" i="9" s="1"/>
  <c r="KS9" i="9" s="1"/>
  <c r="IX8" i="9"/>
  <c r="LL8" i="9" s="1"/>
  <c r="HY8" i="9"/>
  <c r="LI8" i="9" s="1"/>
  <c r="LO8" i="9" s="1"/>
  <c r="HG8" i="9"/>
  <c r="HF8" i="9"/>
  <c r="IF8" i="9" s="1"/>
  <c r="IM8" i="9" s="1"/>
  <c r="KQ9" i="9" s="1"/>
  <c r="GU8" i="9"/>
  <c r="GQ8" i="9"/>
  <c r="GH8" i="9"/>
  <c r="GD8" i="9"/>
  <c r="FP8" i="9"/>
  <c r="FJ8" i="9"/>
  <c r="FC8" i="9"/>
  <c r="EY8" i="9"/>
  <c r="EP8" i="9"/>
  <c r="EL8" i="9"/>
  <c r="CW8" i="9"/>
  <c r="CS8" i="9"/>
  <c r="CE8" i="9"/>
  <c r="CB8" i="9"/>
  <c r="BY8" i="9"/>
  <c r="BV8" i="9"/>
  <c r="BR8" i="9"/>
  <c r="BN8" i="9"/>
  <c r="BJ8" i="9"/>
  <c r="BF8" i="9"/>
  <c r="BB8" i="9"/>
  <c r="AX8" i="9"/>
  <c r="AF8" i="9"/>
  <c r="AF9" i="9" s="1"/>
  <c r="AF10" i="9" s="1"/>
  <c r="AF11" i="9" s="1"/>
  <c r="AF12" i="9" s="1"/>
  <c r="AF13" i="9" s="1"/>
  <c r="AF14" i="9" s="1"/>
  <c r="AF15" i="9" s="1"/>
  <c r="AF16" i="9" s="1"/>
  <c r="AF17" i="9" s="1"/>
  <c r="AF18" i="9" s="1"/>
  <c r="AF19" i="9" s="1"/>
  <c r="AF20" i="9" s="1"/>
  <c r="AF21" i="9" s="1"/>
  <c r="K8" i="9"/>
  <c r="H8" i="9"/>
  <c r="F8" i="9"/>
  <c r="ML7" i="9"/>
  <c r="LU7" i="9"/>
  <c r="LU8" i="9" s="1"/>
  <c r="LU9" i="9" s="1"/>
  <c r="LU10" i="9" s="1"/>
  <c r="LU11" i="9" s="1"/>
  <c r="LU12" i="9" s="1"/>
  <c r="LU13" i="9" s="1"/>
  <c r="KH7" i="9"/>
  <c r="KH8" i="9" s="1"/>
  <c r="KH9" i="9" s="1"/>
  <c r="KH10" i="9" s="1"/>
  <c r="KH11" i="9" s="1"/>
  <c r="KH12" i="9" s="1"/>
  <c r="KH13" i="9" s="1"/>
  <c r="KH14" i="9" s="1"/>
  <c r="KH15" i="9" s="1"/>
  <c r="KH16" i="9" s="1"/>
  <c r="KH17" i="9" s="1"/>
  <c r="KH18" i="9" s="1"/>
  <c r="KH19" i="9" s="1"/>
  <c r="KH20" i="9" s="1"/>
  <c r="KH21" i="9" s="1"/>
  <c r="KH22" i="9" s="1"/>
  <c r="KH23" i="9" s="1"/>
  <c r="KH24" i="9" s="1"/>
  <c r="KH25" i="9" s="1"/>
  <c r="KH26" i="9" s="1"/>
  <c r="KH27" i="9" s="1"/>
  <c r="KH28" i="9" s="1"/>
  <c r="KB7" i="9"/>
  <c r="KA7" i="9"/>
  <c r="JY7" i="9"/>
  <c r="JW7" i="9"/>
  <c r="JS7" i="9"/>
  <c r="JH7" i="9"/>
  <c r="JF7" i="9"/>
  <c r="JG7" i="9" s="1"/>
  <c r="IX7" i="9"/>
  <c r="LL7" i="9" s="1"/>
  <c r="HY7" i="9"/>
  <c r="LI7" i="9" s="1"/>
  <c r="LO7" i="9" s="1"/>
  <c r="HG7" i="9"/>
  <c r="HF7" i="9"/>
  <c r="IF7" i="9" s="1"/>
  <c r="IM7" i="9" s="1"/>
  <c r="GU7" i="9"/>
  <c r="GQ7" i="9"/>
  <c r="GD7" i="9"/>
  <c r="FP7" i="9"/>
  <c r="FC7" i="9"/>
  <c r="EY7" i="9"/>
  <c r="EP7" i="9"/>
  <c r="EL7" i="9"/>
  <c r="CW7" i="9"/>
  <c r="CS7" i="9"/>
  <c r="CE7" i="9"/>
  <c r="CB7" i="9"/>
  <c r="BY7" i="9"/>
  <c r="BV7" i="9"/>
  <c r="BR7" i="9"/>
  <c r="BN7" i="9"/>
  <c r="BJ7" i="9"/>
  <c r="BF7" i="9"/>
  <c r="BB7" i="9"/>
  <c r="AX7" i="9"/>
  <c r="AJ7" i="9"/>
  <c r="AI7" i="9"/>
  <c r="AH7" i="9"/>
  <c r="AA7" i="9"/>
  <c r="V7" i="9"/>
  <c r="V8" i="9" s="1"/>
  <c r="V10" i="9" s="1"/>
  <c r="V11" i="9" s="1"/>
  <c r="V12" i="9" s="1"/>
  <c r="V14" i="9" s="1"/>
  <c r="V15" i="9" s="1"/>
  <c r="V16" i="9" s="1"/>
  <c r="V18" i="9" s="1"/>
  <c r="V19" i="9" s="1"/>
  <c r="V20" i="9" s="1"/>
  <c r="K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4" i="9" s="1"/>
  <c r="B25" i="9" s="1"/>
  <c r="KB6" i="9"/>
  <c r="KA6" i="9"/>
  <c r="KA26" i="9" s="1"/>
  <c r="JY6" i="9"/>
  <c r="JY26" i="9" s="1"/>
  <c r="JW6" i="9"/>
  <c r="JS6" i="9"/>
  <c r="JH6" i="9"/>
  <c r="JF6" i="9"/>
  <c r="IX6" i="9"/>
  <c r="LL6" i="9" s="1"/>
  <c r="LL26" i="9" s="1"/>
  <c r="HY6" i="9"/>
  <c r="LI6" i="9" s="1"/>
  <c r="HG6" i="9"/>
  <c r="HF6" i="9"/>
  <c r="IF6" i="9" s="1"/>
  <c r="IM6" i="9" s="1"/>
  <c r="GU6" i="9"/>
  <c r="H24" i="9" s="1"/>
  <c r="GQ6" i="9"/>
  <c r="F24" i="9" s="1"/>
  <c r="GH6" i="9"/>
  <c r="GH12" i="9" s="1"/>
  <c r="H10" i="9" s="1"/>
  <c r="GD6" i="9"/>
  <c r="GD12" i="9" s="1"/>
  <c r="F10" i="9" s="1"/>
  <c r="FC6" i="9"/>
  <c r="EY6" i="9"/>
  <c r="EY9" i="9" s="1"/>
  <c r="F19" i="9" s="1"/>
  <c r="G19" i="9" s="1"/>
  <c r="EP6" i="9"/>
  <c r="EP9" i="9" s="1"/>
  <c r="H18" i="9" s="1"/>
  <c r="EL6" i="9"/>
  <c r="EL9" i="9" s="1"/>
  <c r="F18" i="9" s="1"/>
  <c r="DY6" i="9"/>
  <c r="CW6" i="9"/>
  <c r="CW9" i="9" s="1"/>
  <c r="H14" i="9" s="1"/>
  <c r="CS6" i="9"/>
  <c r="CS9" i="9" s="1"/>
  <c r="F14" i="9" s="1"/>
  <c r="JR5" i="9"/>
  <c r="KO4" i="9"/>
  <c r="KQ4" i="9" s="1"/>
  <c r="JY4" i="9"/>
  <c r="JT4" i="9"/>
  <c r="JS4" i="9"/>
  <c r="IH4" i="9"/>
  <c r="HP4" i="9"/>
  <c r="FS4" i="9"/>
  <c r="FQ4" i="9"/>
  <c r="AJ4" i="9"/>
  <c r="AI4" i="9"/>
  <c r="AH4" i="9"/>
  <c r="CT3" i="9"/>
  <c r="DE3" i="9" s="1"/>
  <c r="CP3" i="9"/>
  <c r="DC3" i="9" s="1"/>
  <c r="GY35" i="8"/>
  <c r="GZ35" i="8" s="1"/>
  <c r="HA35" i="8" s="1"/>
  <c r="HB35" i="8" s="1"/>
  <c r="HC35" i="8" s="1"/>
  <c r="FZ34" i="8"/>
  <c r="GA34" i="8" s="1"/>
  <c r="GB34" i="8" s="1"/>
  <c r="FU34" i="8"/>
  <c r="FV34" i="8" s="1"/>
  <c r="FW34" i="8" s="1"/>
  <c r="FX34" i="8" s="1"/>
  <c r="GJ32" i="8"/>
  <c r="GK32" i="8" s="1"/>
  <c r="GL32" i="8" s="1"/>
  <c r="GM32" i="8" s="1"/>
  <c r="GN32" i="8" s="1"/>
  <c r="GO32" i="8" s="1"/>
  <c r="GP32" i="8" s="1"/>
  <c r="GQ32" i="8" s="1"/>
  <c r="HA31" i="8"/>
  <c r="AS31" i="8"/>
  <c r="AT31" i="8" s="1"/>
  <c r="AU31" i="8" s="1"/>
  <c r="AV31" i="8" s="1"/>
  <c r="AW31" i="8" s="1"/>
  <c r="AX31" i="8" s="1"/>
  <c r="AZ31" i="8" s="1"/>
  <c r="Y31" i="8"/>
  <c r="FL31" i="8" s="1"/>
  <c r="FM31" i="8" s="1"/>
  <c r="N28" i="8"/>
  <c r="L28" i="8"/>
  <c r="JI27" i="8"/>
  <c r="JG27" i="8"/>
  <c r="IW27" i="8"/>
  <c r="HS27" i="8"/>
  <c r="HQ27" i="8"/>
  <c r="GV27" i="8"/>
  <c r="GZ27" i="8" s="1"/>
  <c r="GQ27" i="8"/>
  <c r="GG27" i="8"/>
  <c r="FI27" i="8"/>
  <c r="EN27" i="8"/>
  <c r="DW27" i="8"/>
  <c r="DH27" i="8"/>
  <c r="CI27" i="8"/>
  <c r="BL27" i="8"/>
  <c r="AT27" i="8"/>
  <c r="AQ27" i="8"/>
  <c r="AS27" i="8" s="1"/>
  <c r="V27" i="8"/>
  <c r="O27" i="8"/>
  <c r="M27" i="8"/>
  <c r="J27" i="8"/>
  <c r="JI26" i="8"/>
  <c r="JG26" i="8"/>
  <c r="HS26" i="8"/>
  <c r="HQ26" i="8"/>
  <c r="GV26" i="8"/>
  <c r="GZ26" i="8" s="1"/>
  <c r="GQ26" i="8"/>
  <c r="GG26" i="8"/>
  <c r="FI26" i="8"/>
  <c r="EN26" i="8"/>
  <c r="DW26" i="8"/>
  <c r="DH26" i="8"/>
  <c r="CI26" i="8"/>
  <c r="BL26" i="8"/>
  <c r="BP26" i="8" s="1"/>
  <c r="AT26" i="8"/>
  <c r="AQ26" i="8"/>
  <c r="AS26" i="8" s="1"/>
  <c r="AU26" i="8" s="1"/>
  <c r="V26" i="8"/>
  <c r="O26" i="8"/>
  <c r="M26" i="8"/>
  <c r="J26" i="8"/>
  <c r="JI25" i="8"/>
  <c r="JG25" i="8"/>
  <c r="HS25" i="8"/>
  <c r="HQ25" i="8"/>
  <c r="GV25" i="8"/>
  <c r="GZ25" i="8" s="1"/>
  <c r="GQ25" i="8"/>
  <c r="GG25" i="8"/>
  <c r="FI25" i="8"/>
  <c r="EN25" i="8"/>
  <c r="DW25" i="8"/>
  <c r="DH25" i="8"/>
  <c r="CI25" i="8"/>
  <c r="BL25" i="8"/>
  <c r="AT25" i="8"/>
  <c r="AQ25" i="8"/>
  <c r="AS25" i="8" s="1"/>
  <c r="V25" i="8"/>
  <c r="O25" i="8"/>
  <c r="M25" i="8"/>
  <c r="J25" i="8"/>
  <c r="JI24" i="8"/>
  <c r="JG24" i="8"/>
  <c r="IW24" i="8"/>
  <c r="HS24" i="8"/>
  <c r="HQ24" i="8"/>
  <c r="GV24" i="8"/>
  <c r="GZ24" i="8" s="1"/>
  <c r="GQ24" i="8"/>
  <c r="GG24" i="8"/>
  <c r="FI24" i="8"/>
  <c r="EN24" i="8"/>
  <c r="DW24" i="8"/>
  <c r="DH24" i="8"/>
  <c r="CI24" i="8"/>
  <c r="BL24" i="8"/>
  <c r="AT24" i="8"/>
  <c r="AQ24" i="8"/>
  <c r="AS24" i="8" s="1"/>
  <c r="V24" i="8"/>
  <c r="O24" i="8"/>
  <c r="J24" i="8"/>
  <c r="JI23" i="8"/>
  <c r="JG23" i="8"/>
  <c r="IW23" i="8"/>
  <c r="HS23" i="8"/>
  <c r="HQ23" i="8"/>
  <c r="GV23" i="8"/>
  <c r="GZ23" i="8" s="1"/>
  <c r="GQ23" i="8"/>
  <c r="GG23" i="8"/>
  <c r="FI23" i="8"/>
  <c r="EN23" i="8"/>
  <c r="DW23" i="8"/>
  <c r="DH23" i="8"/>
  <c r="CI23" i="8"/>
  <c r="BL23" i="8"/>
  <c r="AT23" i="8"/>
  <c r="AQ23" i="8"/>
  <c r="AS23" i="8" s="1"/>
  <c r="V23" i="8"/>
  <c r="O23" i="8"/>
  <c r="M23" i="8"/>
  <c r="J23" i="8"/>
  <c r="JI22" i="8"/>
  <c r="JG22" i="8"/>
  <c r="HS22" i="8"/>
  <c r="HQ22" i="8"/>
  <c r="GV22" i="8"/>
  <c r="GZ22" i="8" s="1"/>
  <c r="GQ22" i="8"/>
  <c r="GG22" i="8"/>
  <c r="FI22" i="8"/>
  <c r="EN22" i="8"/>
  <c r="DW22" i="8"/>
  <c r="DH22" i="8"/>
  <c r="CI22" i="8"/>
  <c r="BL22" i="8"/>
  <c r="AT22" i="8"/>
  <c r="AQ22" i="8"/>
  <c r="AS22" i="8" s="1"/>
  <c r="V22" i="8"/>
  <c r="O22" i="8"/>
  <c r="M22" i="8"/>
  <c r="J22" i="8"/>
  <c r="JI21" i="8"/>
  <c r="JG21" i="8"/>
  <c r="HS21" i="8"/>
  <c r="HQ21" i="8"/>
  <c r="GV21" i="8"/>
  <c r="GZ21" i="8" s="1"/>
  <c r="GQ21" i="8"/>
  <c r="GG21" i="8"/>
  <c r="FI21" i="8"/>
  <c r="EN21" i="8"/>
  <c r="DW21" i="8"/>
  <c r="DH21" i="8"/>
  <c r="CI21" i="8"/>
  <c r="BL21" i="8"/>
  <c r="AT21" i="8"/>
  <c r="AQ21" i="8"/>
  <c r="AS21" i="8" s="1"/>
  <c r="V21" i="8"/>
  <c r="O21" i="8"/>
  <c r="M21" i="8"/>
  <c r="J21" i="8"/>
  <c r="JI20" i="8"/>
  <c r="JG20" i="8"/>
  <c r="HS20" i="8"/>
  <c r="HQ20" i="8"/>
  <c r="GV20" i="8"/>
  <c r="GZ20" i="8" s="1"/>
  <c r="GQ20" i="8"/>
  <c r="GG20" i="8"/>
  <c r="FI20" i="8"/>
  <c r="EN20" i="8"/>
  <c r="DW20" i="8"/>
  <c r="DH20" i="8"/>
  <c r="CI20" i="8"/>
  <c r="BL20" i="8"/>
  <c r="AT20" i="8"/>
  <c r="AQ20" i="8"/>
  <c r="AS20" i="8" s="1"/>
  <c r="V20" i="8"/>
  <c r="O20" i="8"/>
  <c r="J20" i="8"/>
  <c r="JI19" i="8"/>
  <c r="JG19" i="8"/>
  <c r="HS19" i="8"/>
  <c r="HQ19" i="8"/>
  <c r="GV19" i="8"/>
  <c r="GZ19" i="8" s="1"/>
  <c r="GQ19" i="8"/>
  <c r="GG19" i="8"/>
  <c r="FI19" i="8"/>
  <c r="EN19" i="8"/>
  <c r="DW19" i="8"/>
  <c r="DH19" i="8"/>
  <c r="CI19" i="8"/>
  <c r="BL19" i="8"/>
  <c r="AT19" i="8"/>
  <c r="AQ19" i="8"/>
  <c r="AS19" i="8" s="1"/>
  <c r="V19" i="8"/>
  <c r="O19" i="8"/>
  <c r="M19" i="8"/>
  <c r="J19" i="8"/>
  <c r="JI18" i="8"/>
  <c r="JG18" i="8"/>
  <c r="HS18" i="8"/>
  <c r="HQ18" i="8"/>
  <c r="GV18" i="8"/>
  <c r="GZ18" i="8" s="1"/>
  <c r="GQ18" i="8"/>
  <c r="GG18" i="8"/>
  <c r="FI18" i="8"/>
  <c r="EN18" i="8"/>
  <c r="DW18" i="8"/>
  <c r="DH18" i="8"/>
  <c r="CI18" i="8"/>
  <c r="BL18" i="8"/>
  <c r="AT18" i="8"/>
  <c r="AQ18" i="8"/>
  <c r="AS18" i="8" s="1"/>
  <c r="V18" i="8"/>
  <c r="O18" i="8"/>
  <c r="M18" i="8"/>
  <c r="J18" i="8"/>
  <c r="JI17" i="8"/>
  <c r="JG17" i="8"/>
  <c r="IW17" i="8"/>
  <c r="HS17" i="8"/>
  <c r="HQ17" i="8"/>
  <c r="GV17" i="8"/>
  <c r="GQ17" i="8"/>
  <c r="GG17" i="8"/>
  <c r="FI17" i="8"/>
  <c r="EN17" i="8"/>
  <c r="DW17" i="8"/>
  <c r="DH17" i="8"/>
  <c r="CI17" i="8"/>
  <c r="BL17" i="8"/>
  <c r="AT17" i="8"/>
  <c r="AQ17" i="8"/>
  <c r="AS17" i="8" s="1"/>
  <c r="AU17" i="8" s="1"/>
  <c r="V17" i="8"/>
  <c r="O17" i="8"/>
  <c r="M17" i="8"/>
  <c r="J17" i="8"/>
  <c r="JI16" i="8"/>
  <c r="JG16" i="8"/>
  <c r="HS16" i="8"/>
  <c r="HQ16" i="8"/>
  <c r="GV16" i="8"/>
  <c r="GZ16" i="8" s="1"/>
  <c r="GQ16" i="8"/>
  <c r="GG16" i="8"/>
  <c r="FI16" i="8"/>
  <c r="EN16" i="8"/>
  <c r="DW16" i="8"/>
  <c r="DH16" i="8"/>
  <c r="CI16" i="8"/>
  <c r="BL16" i="8"/>
  <c r="AT16" i="8"/>
  <c r="AQ16" i="8"/>
  <c r="AS16" i="8" s="1"/>
  <c r="V16" i="8"/>
  <c r="O16" i="8"/>
  <c r="M16" i="8"/>
  <c r="J16" i="8"/>
  <c r="JI15" i="8"/>
  <c r="JG15" i="8"/>
  <c r="IW15" i="8"/>
  <c r="HS15" i="8"/>
  <c r="HQ15" i="8"/>
  <c r="GV15" i="8"/>
  <c r="GZ15" i="8" s="1"/>
  <c r="GQ15" i="8"/>
  <c r="GG15" i="8"/>
  <c r="FI15" i="8"/>
  <c r="EN15" i="8"/>
  <c r="DW15" i="8"/>
  <c r="DH15" i="8"/>
  <c r="CI15" i="8"/>
  <c r="BL15" i="8"/>
  <c r="AT15" i="8"/>
  <c r="AQ15" i="8"/>
  <c r="AS15" i="8" s="1"/>
  <c r="V15" i="8"/>
  <c r="O15" i="8"/>
  <c r="M15" i="8"/>
  <c r="J15" i="8"/>
  <c r="JI14" i="8"/>
  <c r="JG14" i="8"/>
  <c r="HS14" i="8"/>
  <c r="HQ14" i="8"/>
  <c r="GV14" i="8"/>
  <c r="GZ14" i="8" s="1"/>
  <c r="GQ14" i="8"/>
  <c r="GG14" i="8"/>
  <c r="FI14" i="8"/>
  <c r="EN14" i="8"/>
  <c r="DW14" i="8"/>
  <c r="DH14" i="8"/>
  <c r="CI14" i="8"/>
  <c r="BL14" i="8"/>
  <c r="AT14" i="8"/>
  <c r="AQ14" i="8"/>
  <c r="AS14" i="8" s="1"/>
  <c r="V14" i="8"/>
  <c r="O14" i="8"/>
  <c r="M14" i="8"/>
  <c r="J14" i="8"/>
  <c r="JI13" i="8"/>
  <c r="JG13" i="8"/>
  <c r="HS13" i="8"/>
  <c r="HQ13" i="8"/>
  <c r="GV13" i="8"/>
  <c r="GZ13" i="8" s="1"/>
  <c r="GQ13" i="8"/>
  <c r="GG13" i="8"/>
  <c r="FQ13" i="8"/>
  <c r="FI13" i="8"/>
  <c r="EN13" i="8"/>
  <c r="DW13" i="8"/>
  <c r="DH13" i="8"/>
  <c r="CI13" i="8"/>
  <c r="BL13" i="8"/>
  <c r="AT13" i="8"/>
  <c r="AQ13" i="8"/>
  <c r="AS13" i="8" s="1"/>
  <c r="V13" i="8"/>
  <c r="O13" i="8"/>
  <c r="M13" i="8"/>
  <c r="J13" i="8"/>
  <c r="E13" i="8"/>
  <c r="JI12" i="8"/>
  <c r="JG12" i="8"/>
  <c r="HS12" i="8"/>
  <c r="HQ12" i="8"/>
  <c r="GV12" i="8"/>
  <c r="GZ12" i="8" s="1"/>
  <c r="GQ12" i="8"/>
  <c r="GG12" i="8"/>
  <c r="FI12" i="8"/>
  <c r="EN12" i="8"/>
  <c r="DW12" i="8"/>
  <c r="DH12" i="8"/>
  <c r="CI12" i="8"/>
  <c r="BL12" i="8"/>
  <c r="AT12" i="8"/>
  <c r="AS12" i="8"/>
  <c r="AU12" i="8" s="1"/>
  <c r="AQ12" i="8"/>
  <c r="V12" i="8"/>
  <c r="O12" i="8"/>
  <c r="M12" i="8"/>
  <c r="J12" i="8"/>
  <c r="JI11" i="8"/>
  <c r="JG11" i="8"/>
  <c r="HS11" i="8"/>
  <c r="HQ11" i="8"/>
  <c r="GV11" i="8"/>
  <c r="GZ11" i="8" s="1"/>
  <c r="GQ11" i="8"/>
  <c r="GG11" i="8"/>
  <c r="FI11" i="8"/>
  <c r="EN11" i="8"/>
  <c r="DH11" i="8"/>
  <c r="CI11" i="8"/>
  <c r="BL11" i="8"/>
  <c r="AT11" i="8"/>
  <c r="AQ11" i="8"/>
  <c r="AS11" i="8" s="1"/>
  <c r="V11" i="8"/>
  <c r="O11" i="8"/>
  <c r="M11" i="8"/>
  <c r="J11" i="8"/>
  <c r="JI10" i="8"/>
  <c r="JG10" i="8"/>
  <c r="HS10" i="8"/>
  <c r="HQ10" i="8"/>
  <c r="GV10" i="8"/>
  <c r="GZ10" i="8" s="1"/>
  <c r="GQ10" i="8"/>
  <c r="GG10" i="8"/>
  <c r="FI10" i="8"/>
  <c r="EN10" i="8"/>
  <c r="DW10" i="8"/>
  <c r="DH10" i="8"/>
  <c r="CI10" i="8"/>
  <c r="BL10" i="8"/>
  <c r="AT10" i="8"/>
  <c r="AQ10" i="8"/>
  <c r="AS10" i="8" s="1"/>
  <c r="V10" i="8"/>
  <c r="O10" i="8"/>
  <c r="M10" i="8"/>
  <c r="J10" i="8"/>
  <c r="JI9" i="8"/>
  <c r="JG9" i="8"/>
  <c r="HS9" i="8"/>
  <c r="HQ9" i="8"/>
  <c r="GV9" i="8"/>
  <c r="GZ9" i="8" s="1"/>
  <c r="GQ9" i="8"/>
  <c r="GG9" i="8"/>
  <c r="FI9" i="8"/>
  <c r="EN9" i="8"/>
  <c r="DW9" i="8"/>
  <c r="DH9" i="8"/>
  <c r="CI9" i="8"/>
  <c r="BY9" i="8"/>
  <c r="BL9" i="8"/>
  <c r="AT9" i="8"/>
  <c r="AQ9" i="8"/>
  <c r="AS9" i="8" s="1"/>
  <c r="V9" i="8"/>
  <c r="O9" i="8"/>
  <c r="M9" i="8"/>
  <c r="J9" i="8"/>
  <c r="JI8" i="8"/>
  <c r="JG8" i="8"/>
  <c r="IW8" i="8"/>
  <c r="HS8" i="8"/>
  <c r="HQ8" i="8"/>
  <c r="HA8" i="8"/>
  <c r="GV8" i="8"/>
  <c r="GZ8" i="8" s="1"/>
  <c r="IS8" i="8" s="1"/>
  <c r="IV8" i="8" s="1"/>
  <c r="GQ8" i="8"/>
  <c r="GG8" i="8"/>
  <c r="FI8" i="8"/>
  <c r="EN8" i="8"/>
  <c r="DW8" i="8"/>
  <c r="DH8" i="8"/>
  <c r="CI8" i="8"/>
  <c r="BL8" i="8"/>
  <c r="AT8" i="8"/>
  <c r="AQ8" i="8"/>
  <c r="AS8" i="8" s="1"/>
  <c r="V8" i="8"/>
  <c r="O8" i="8"/>
  <c r="M8" i="8"/>
  <c r="J8" i="8"/>
  <c r="JI7" i="8"/>
  <c r="JG7" i="8"/>
  <c r="HS7" i="8"/>
  <c r="HQ7" i="8"/>
  <c r="GV7" i="8"/>
  <c r="GZ7" i="8" s="1"/>
  <c r="GQ7" i="8"/>
  <c r="GG7" i="8"/>
  <c r="FI7" i="8"/>
  <c r="EN7" i="8"/>
  <c r="EG7" i="8"/>
  <c r="EH7" i="8" s="1"/>
  <c r="DW7" i="8"/>
  <c r="DH7" i="8"/>
  <c r="DC7" i="8"/>
  <c r="CI7" i="8"/>
  <c r="BL7" i="8"/>
  <c r="AT7" i="8"/>
  <c r="AQ7" i="8"/>
  <c r="AS7" i="8" s="1"/>
  <c r="V7" i="8"/>
  <c r="O7" i="8"/>
  <c r="M7" i="8"/>
  <c r="J7" i="8"/>
  <c r="JI6" i="8"/>
  <c r="JG6" i="8"/>
  <c r="HS6" i="8"/>
  <c r="HQ6" i="8"/>
  <c r="GV6" i="8"/>
  <c r="GZ6" i="8" s="1"/>
  <c r="GQ6" i="8"/>
  <c r="GG6" i="8"/>
  <c r="FI6" i="8"/>
  <c r="EN6" i="8"/>
  <c r="EH6" i="8"/>
  <c r="DW6" i="8"/>
  <c r="DH6" i="8"/>
  <c r="DB6" i="8"/>
  <c r="DA6" i="8"/>
  <c r="CZ6" i="8"/>
  <c r="CI6" i="8"/>
  <c r="BL6" i="8"/>
  <c r="BF6" i="8"/>
  <c r="AT6" i="8"/>
  <c r="AQ6" i="8"/>
  <c r="AS6" i="8" s="1"/>
  <c r="V6" i="8"/>
  <c r="O6" i="8"/>
  <c r="M6" i="8"/>
  <c r="J6" i="8"/>
  <c r="JI5" i="8"/>
  <c r="JG5" i="8"/>
  <c r="JF5" i="8"/>
  <c r="JF6" i="8" s="1"/>
  <c r="JF7" i="8" s="1"/>
  <c r="JF8" i="8" s="1"/>
  <c r="JF9" i="8" s="1"/>
  <c r="JF10" i="8" s="1"/>
  <c r="JF11" i="8" s="1"/>
  <c r="JF12" i="8" s="1"/>
  <c r="JF13" i="8" s="1"/>
  <c r="JF14" i="8" s="1"/>
  <c r="JF15" i="8" s="1"/>
  <c r="JF16" i="8" s="1"/>
  <c r="JF17" i="8" s="1"/>
  <c r="JF18" i="8" s="1"/>
  <c r="JF19" i="8" s="1"/>
  <c r="JF20" i="8" s="1"/>
  <c r="JF21" i="8" s="1"/>
  <c r="JF22" i="8" s="1"/>
  <c r="JF23" i="8" s="1"/>
  <c r="JF24" i="8" s="1"/>
  <c r="JF25" i="8" s="1"/>
  <c r="JF26" i="8" s="1"/>
  <c r="JF27" i="8" s="1"/>
  <c r="HS5" i="8"/>
  <c r="HQ5" i="8"/>
  <c r="HP5" i="8"/>
  <c r="HP6" i="8" s="1"/>
  <c r="HP7" i="8" s="1"/>
  <c r="HP8" i="8" s="1"/>
  <c r="HP9" i="8" s="1"/>
  <c r="HP10" i="8" s="1"/>
  <c r="HP11" i="8" s="1"/>
  <c r="HP12" i="8" s="1"/>
  <c r="HP13" i="8" s="1"/>
  <c r="HP14" i="8" s="1"/>
  <c r="HP15" i="8" s="1"/>
  <c r="HP16" i="8" s="1"/>
  <c r="HP17" i="8" s="1"/>
  <c r="HP18" i="8" s="1"/>
  <c r="HP19" i="8" s="1"/>
  <c r="HP20" i="8" s="1"/>
  <c r="HP21" i="8" s="1"/>
  <c r="HP22" i="8" s="1"/>
  <c r="HP23" i="8" s="1"/>
  <c r="HP24" i="8" s="1"/>
  <c r="HP25" i="8" s="1"/>
  <c r="HP26" i="8" s="1"/>
  <c r="HP27" i="8" s="1"/>
  <c r="GV5" i="8"/>
  <c r="GZ5" i="8" s="1"/>
  <c r="GU5" i="8"/>
  <c r="GU6" i="8" s="1"/>
  <c r="GU7" i="8" s="1"/>
  <c r="GU8" i="8" s="1"/>
  <c r="GU9" i="8" s="1"/>
  <c r="GU10" i="8" s="1"/>
  <c r="GU11" i="8" s="1"/>
  <c r="GU12" i="8" s="1"/>
  <c r="GU13" i="8" s="1"/>
  <c r="GU14" i="8" s="1"/>
  <c r="GU15" i="8" s="1"/>
  <c r="GU16" i="8" s="1"/>
  <c r="GU17" i="8" s="1"/>
  <c r="GU18" i="8" s="1"/>
  <c r="GU19" i="8" s="1"/>
  <c r="GU20" i="8" s="1"/>
  <c r="GU21" i="8" s="1"/>
  <c r="GU22" i="8" s="1"/>
  <c r="GU23" i="8" s="1"/>
  <c r="GU24" i="8" s="1"/>
  <c r="GU25" i="8" s="1"/>
  <c r="GU26" i="8" s="1"/>
  <c r="GU27" i="8" s="1"/>
  <c r="GQ5" i="8"/>
  <c r="GG5" i="8"/>
  <c r="GF5" i="8"/>
  <c r="GF6" i="8" s="1"/>
  <c r="GF7" i="8" s="1"/>
  <c r="GF8" i="8" s="1"/>
  <c r="GF9" i="8" s="1"/>
  <c r="GF10" i="8" s="1"/>
  <c r="GF11" i="8" s="1"/>
  <c r="GF12" i="8" s="1"/>
  <c r="GF13" i="8" s="1"/>
  <c r="GF14" i="8" s="1"/>
  <c r="GF15" i="8" s="1"/>
  <c r="GF16" i="8" s="1"/>
  <c r="GF17" i="8" s="1"/>
  <c r="GF18" i="8" s="1"/>
  <c r="GF19" i="8" s="1"/>
  <c r="GF20" i="8" s="1"/>
  <c r="GF21" i="8" s="1"/>
  <c r="GF22" i="8" s="1"/>
  <c r="GF23" i="8" s="1"/>
  <c r="GF24" i="8" s="1"/>
  <c r="GF25" i="8" s="1"/>
  <c r="GF26" i="8" s="1"/>
  <c r="GF27" i="8" s="1"/>
  <c r="FQ5" i="8"/>
  <c r="FI5" i="8"/>
  <c r="FH5" i="8"/>
  <c r="FH6" i="8" s="1"/>
  <c r="FH7" i="8" s="1"/>
  <c r="FH8" i="8" s="1"/>
  <c r="FH9" i="8" s="1"/>
  <c r="FH10" i="8" s="1"/>
  <c r="FH11" i="8" s="1"/>
  <c r="FH12" i="8" s="1"/>
  <c r="FH13" i="8" s="1"/>
  <c r="FH14" i="8" s="1"/>
  <c r="FH15" i="8" s="1"/>
  <c r="FH16" i="8" s="1"/>
  <c r="FH17" i="8" s="1"/>
  <c r="FH18" i="8" s="1"/>
  <c r="FH19" i="8" s="1"/>
  <c r="FH20" i="8" s="1"/>
  <c r="FH21" i="8" s="1"/>
  <c r="FH22" i="8" s="1"/>
  <c r="FH23" i="8" s="1"/>
  <c r="FH24" i="8" s="1"/>
  <c r="FH25" i="8" s="1"/>
  <c r="FH26" i="8" s="1"/>
  <c r="FH27" i="8" s="1"/>
  <c r="FH28" i="8" s="1"/>
  <c r="EN5" i="8"/>
  <c r="EM5" i="8"/>
  <c r="EM6" i="8" s="1"/>
  <c r="EM7" i="8" s="1"/>
  <c r="EM8" i="8" s="1"/>
  <c r="EM9" i="8" s="1"/>
  <c r="EM10" i="8" s="1"/>
  <c r="EM11" i="8" s="1"/>
  <c r="EM12" i="8" s="1"/>
  <c r="EM13" i="8" s="1"/>
  <c r="EM14" i="8" s="1"/>
  <c r="EM15" i="8" s="1"/>
  <c r="EM16" i="8" s="1"/>
  <c r="EM17" i="8" s="1"/>
  <c r="EM18" i="8" s="1"/>
  <c r="EM19" i="8" s="1"/>
  <c r="EM20" i="8" s="1"/>
  <c r="EM21" i="8" s="1"/>
  <c r="EM22" i="8" s="1"/>
  <c r="EM23" i="8" s="1"/>
  <c r="EM24" i="8" s="1"/>
  <c r="EM25" i="8" s="1"/>
  <c r="EM26" i="8" s="1"/>
  <c r="EM27" i="8" s="1"/>
  <c r="EM28" i="8" s="1"/>
  <c r="EH5" i="8"/>
  <c r="DW5" i="8"/>
  <c r="DV5" i="8"/>
  <c r="DV6" i="8" s="1"/>
  <c r="DV7" i="8" s="1"/>
  <c r="DV8" i="8" s="1"/>
  <c r="DV9" i="8" s="1"/>
  <c r="DV10" i="8" s="1"/>
  <c r="DV11" i="8" s="1"/>
  <c r="DV12" i="8" s="1"/>
  <c r="DV13" i="8" s="1"/>
  <c r="DV14" i="8" s="1"/>
  <c r="DV15" i="8" s="1"/>
  <c r="DV16" i="8" s="1"/>
  <c r="DV17" i="8" s="1"/>
  <c r="DV18" i="8" s="1"/>
  <c r="DV19" i="8" s="1"/>
  <c r="DV20" i="8" s="1"/>
  <c r="DV21" i="8" s="1"/>
  <c r="DV22" i="8" s="1"/>
  <c r="DV23" i="8" s="1"/>
  <c r="DV24" i="8" s="1"/>
  <c r="DV25" i="8" s="1"/>
  <c r="DV26" i="8" s="1"/>
  <c r="DV27" i="8" s="1"/>
  <c r="DV28" i="8" s="1"/>
  <c r="DH5" i="8"/>
  <c r="DG5" i="8"/>
  <c r="DG6" i="8" s="1"/>
  <c r="DG7" i="8" s="1"/>
  <c r="DG8" i="8" s="1"/>
  <c r="DG9" i="8" s="1"/>
  <c r="DG10" i="8" s="1"/>
  <c r="DG11" i="8" s="1"/>
  <c r="DG12" i="8" s="1"/>
  <c r="DG13" i="8" s="1"/>
  <c r="DG14" i="8" s="1"/>
  <c r="DG15" i="8" s="1"/>
  <c r="DG16" i="8" s="1"/>
  <c r="DG17" i="8" s="1"/>
  <c r="DG18" i="8" s="1"/>
  <c r="DG19" i="8" s="1"/>
  <c r="DG20" i="8" s="1"/>
  <c r="DG21" i="8" s="1"/>
  <c r="DG22" i="8" s="1"/>
  <c r="DG23" i="8" s="1"/>
  <c r="DG24" i="8" s="1"/>
  <c r="DG25" i="8" s="1"/>
  <c r="DG26" i="8" s="1"/>
  <c r="DG27" i="8" s="1"/>
  <c r="DG28" i="8" s="1"/>
  <c r="DB5" i="8"/>
  <c r="DA5" i="8"/>
  <c r="CZ5" i="8"/>
  <c r="CU5" i="8"/>
  <c r="CI5" i="8"/>
  <c r="CH5" i="8"/>
  <c r="CH6" i="8" s="1"/>
  <c r="CH7" i="8" s="1"/>
  <c r="CH8" i="8" s="1"/>
  <c r="CH9" i="8" s="1"/>
  <c r="CH10" i="8" s="1"/>
  <c r="CH11" i="8" s="1"/>
  <c r="CH12" i="8" s="1"/>
  <c r="CH13" i="8" s="1"/>
  <c r="CH14" i="8" s="1"/>
  <c r="CH15" i="8" s="1"/>
  <c r="CH16" i="8" s="1"/>
  <c r="CH17" i="8" s="1"/>
  <c r="CH18" i="8" s="1"/>
  <c r="CH19" i="8" s="1"/>
  <c r="CH20" i="8" s="1"/>
  <c r="CH21" i="8" s="1"/>
  <c r="CH22" i="8" s="1"/>
  <c r="CH23" i="8" s="1"/>
  <c r="CH24" i="8" s="1"/>
  <c r="CH25" i="8" s="1"/>
  <c r="CH26" i="8" s="1"/>
  <c r="CH27" i="8" s="1"/>
  <c r="CH28" i="8" s="1"/>
  <c r="BW5" i="8"/>
  <c r="BW6" i="8" s="1"/>
  <c r="BW7" i="8" s="1"/>
  <c r="BW8" i="8" s="1"/>
  <c r="BL5" i="8"/>
  <c r="BK5" i="8"/>
  <c r="BK6" i="8" s="1"/>
  <c r="BK7" i="8" s="1"/>
  <c r="BK8" i="8" s="1"/>
  <c r="BK9" i="8" s="1"/>
  <c r="BK10" i="8" s="1"/>
  <c r="BK11" i="8" s="1"/>
  <c r="BK12" i="8" s="1"/>
  <c r="BK13" i="8" s="1"/>
  <c r="BK14" i="8" s="1"/>
  <c r="BK15" i="8" s="1"/>
  <c r="BK16" i="8" s="1"/>
  <c r="BK17" i="8" s="1"/>
  <c r="BK18" i="8" s="1"/>
  <c r="BK19" i="8" s="1"/>
  <c r="BK20" i="8" s="1"/>
  <c r="BK21" i="8" s="1"/>
  <c r="BK22" i="8" s="1"/>
  <c r="BK23" i="8" s="1"/>
  <c r="BK24" i="8" s="1"/>
  <c r="BK25" i="8" s="1"/>
  <c r="BK26" i="8" s="1"/>
  <c r="BK27" i="8" s="1"/>
  <c r="BK28" i="8" s="1"/>
  <c r="AT5" i="8"/>
  <c r="AS5" i="8"/>
  <c r="AQ5" i="8"/>
  <c r="AP5" i="8"/>
  <c r="AP6" i="8" s="1"/>
  <c r="AP7" i="8" s="1"/>
  <c r="AP8" i="8" s="1"/>
  <c r="AP9" i="8" s="1"/>
  <c r="AP10" i="8" s="1"/>
  <c r="AP11" i="8" s="1"/>
  <c r="AP12" i="8" s="1"/>
  <c r="AP13" i="8" s="1"/>
  <c r="AP14" i="8" s="1"/>
  <c r="AP15" i="8" s="1"/>
  <c r="AP16" i="8" s="1"/>
  <c r="AP17" i="8" s="1"/>
  <c r="AP18" i="8" s="1"/>
  <c r="AP19" i="8" s="1"/>
  <c r="AP20" i="8" s="1"/>
  <c r="AP21" i="8" s="1"/>
  <c r="AP22" i="8" s="1"/>
  <c r="AP23" i="8" s="1"/>
  <c r="AP24" i="8" s="1"/>
  <c r="AP25" i="8" s="1"/>
  <c r="AP26" i="8" s="1"/>
  <c r="AP27" i="8" s="1"/>
  <c r="AP28" i="8" s="1"/>
  <c r="AJ5" i="8"/>
  <c r="AJ6" i="8" s="1"/>
  <c r="AJ7" i="8" s="1"/>
  <c r="AC5" i="8"/>
  <c r="AC6" i="8" s="1"/>
  <c r="AC7" i="8" s="1"/>
  <c r="AC8" i="8" s="1"/>
  <c r="AC9" i="8" s="1"/>
  <c r="AC10" i="8" s="1"/>
  <c r="AC11" i="8" s="1"/>
  <c r="AC12" i="8" s="1"/>
  <c r="AC13" i="8" s="1"/>
  <c r="AC14" i="8" s="1"/>
  <c r="AC15" i="8" s="1"/>
  <c r="AC16" i="8" s="1"/>
  <c r="AC17" i="8" s="1"/>
  <c r="AC18" i="8" s="1"/>
  <c r="AC19" i="8" s="1"/>
  <c r="AC20" i="8" s="1"/>
  <c r="AC21" i="8" s="1"/>
  <c r="AC22" i="8" s="1"/>
  <c r="AC23" i="8" s="1"/>
  <c r="AC24" i="8" s="1"/>
  <c r="AC25" i="8" s="1"/>
  <c r="AC26" i="8" s="1"/>
  <c r="AC27" i="8" s="1"/>
  <c r="V5" i="8"/>
  <c r="U5" i="8"/>
  <c r="U6" i="8" s="1"/>
  <c r="U7" i="8" s="1"/>
  <c r="U8" i="8" s="1"/>
  <c r="U9" i="8" s="1"/>
  <c r="U10" i="8" s="1"/>
  <c r="U11" i="8" s="1"/>
  <c r="U12" i="8" s="1"/>
  <c r="U13" i="8" s="1"/>
  <c r="U14" i="8" s="1"/>
  <c r="U15" i="8" s="1"/>
  <c r="U16" i="8" s="1"/>
  <c r="U17" i="8" s="1"/>
  <c r="U18" i="8" s="1"/>
  <c r="U19" i="8" s="1"/>
  <c r="U20" i="8" s="1"/>
  <c r="U21" i="8" s="1"/>
  <c r="U22" i="8" s="1"/>
  <c r="U23" i="8" s="1"/>
  <c r="U24" i="8" s="1"/>
  <c r="U25" i="8" s="1"/>
  <c r="U26" i="8" s="1"/>
  <c r="U27" i="8" s="1"/>
  <c r="U28" i="8" s="1"/>
  <c r="O5" i="8"/>
  <c r="M5" i="8"/>
  <c r="J5" i="8"/>
  <c r="I5" i="8"/>
  <c r="I6" i="8" s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I21" i="8" s="1"/>
  <c r="JI4" i="8"/>
  <c r="JG4" i="8"/>
  <c r="HS4" i="8"/>
  <c r="HQ4" i="8"/>
  <c r="GV4" i="8"/>
  <c r="GZ4" i="8" s="1"/>
  <c r="GQ4" i="8"/>
  <c r="GQ28" i="8" s="1"/>
  <c r="GG4" i="8"/>
  <c r="FI4" i="8"/>
  <c r="EN4" i="8"/>
  <c r="EH4" i="8"/>
  <c r="DW4" i="8"/>
  <c r="DH4" i="8"/>
  <c r="DB4" i="8"/>
  <c r="DB7" i="8" s="1"/>
  <c r="DO28" i="8" s="1"/>
  <c r="DA4" i="8"/>
  <c r="DA7" i="8" s="1"/>
  <c r="DM28" i="8" s="1"/>
  <c r="CZ4" i="8"/>
  <c r="CZ7" i="8" s="1"/>
  <c r="DK28" i="8" s="1"/>
  <c r="CI4" i="8"/>
  <c r="BL4" i="8"/>
  <c r="BE4" i="8"/>
  <c r="AT4" i="8"/>
  <c r="AS4" i="8"/>
  <c r="AQ4" i="8"/>
  <c r="V4" i="8"/>
  <c r="O4" i="8"/>
  <c r="O28" i="8" s="1"/>
  <c r="M4" i="8"/>
  <c r="J4" i="8"/>
  <c r="JH2" i="8"/>
  <c r="HR2" i="8"/>
  <c r="FK2" i="8"/>
  <c r="DB2" i="8"/>
  <c r="DA2" i="8"/>
  <c r="CZ2" i="8"/>
  <c r="BP2" i="8"/>
  <c r="BN2" i="8"/>
  <c r="ML35" i="7"/>
  <c r="FO35" i="7"/>
  <c r="FN35" i="7"/>
  <c r="FM35" i="7"/>
  <c r="FP35" i="7" s="1"/>
  <c r="ML34" i="7"/>
  <c r="FP34" i="7"/>
  <c r="FP33" i="7"/>
  <c r="ML32" i="7"/>
  <c r="ML31" i="7"/>
  <c r="FO31" i="7"/>
  <c r="FP31" i="7" s="1"/>
  <c r="FN31" i="7"/>
  <c r="FM31" i="7"/>
  <c r="FP30" i="7"/>
  <c r="ME29" i="7"/>
  <c r="FP29" i="7"/>
  <c r="FP28" i="7"/>
  <c r="MO27" i="7"/>
  <c r="MP27" i="7" s="1"/>
  <c r="MF27" i="7"/>
  <c r="FP27" i="7"/>
  <c r="MN26" i="7"/>
  <c r="MO26" i="7" s="1"/>
  <c r="MP26" i="7" s="1"/>
  <c r="MF26" i="7"/>
  <c r="KB26" i="7"/>
  <c r="JZ26" i="7"/>
  <c r="JX26" i="7"/>
  <c r="JS26" i="7"/>
  <c r="JI26" i="7"/>
  <c r="IV26" i="7"/>
  <c r="IT26" i="7"/>
  <c r="IR26" i="7"/>
  <c r="IP26" i="7"/>
  <c r="IO26" i="7"/>
  <c r="IN26" i="7"/>
  <c r="IL26" i="7"/>
  <c r="IJ26" i="7"/>
  <c r="IH26" i="7"/>
  <c r="IX26" i="7" s="1"/>
  <c r="HX26" i="7"/>
  <c r="HX27" i="7" s="1"/>
  <c r="HW26" i="7"/>
  <c r="HV26" i="7"/>
  <c r="HV27" i="7" s="1"/>
  <c r="HU26" i="7"/>
  <c r="HT26" i="7"/>
  <c r="HS26" i="7"/>
  <c r="HQ26" i="7"/>
  <c r="HY26" i="7" s="1"/>
  <c r="HE26" i="7"/>
  <c r="HD26" i="7"/>
  <c r="HC26" i="7"/>
  <c r="HF26" i="7" s="1"/>
  <c r="IF26" i="7" s="1"/>
  <c r="HB26" i="7"/>
  <c r="FP26" i="7"/>
  <c r="ML25" i="7"/>
  <c r="KB25" i="7"/>
  <c r="KA25" i="7"/>
  <c r="JZ25" i="7"/>
  <c r="JY25" i="7"/>
  <c r="JX25" i="7"/>
  <c r="JW25" i="7"/>
  <c r="JS25" i="7"/>
  <c r="JH25" i="7"/>
  <c r="JF25" i="7"/>
  <c r="JG25" i="7" s="1"/>
  <c r="JJ25" i="7" s="1"/>
  <c r="KJ26" i="7" s="1"/>
  <c r="KS26" i="7" s="1"/>
  <c r="IX25" i="7"/>
  <c r="LL25" i="7" s="1"/>
  <c r="HY25" i="7"/>
  <c r="LI25" i="7" s="1"/>
  <c r="LO25" i="7" s="1"/>
  <c r="HG25" i="7"/>
  <c r="HF25" i="7"/>
  <c r="IF25" i="7" s="1"/>
  <c r="IM25" i="7" s="1"/>
  <c r="KQ26" i="7" s="1"/>
  <c r="H25" i="7"/>
  <c r="F25" i="7"/>
  <c r="ML24" i="7"/>
  <c r="KB24" i="7"/>
  <c r="KA24" i="7"/>
  <c r="JZ24" i="7"/>
  <c r="JY24" i="7"/>
  <c r="JX24" i="7"/>
  <c r="JW24" i="7"/>
  <c r="JS24" i="7"/>
  <c r="JH24" i="7"/>
  <c r="JF24" i="7"/>
  <c r="JG24" i="7" s="1"/>
  <c r="JJ24" i="7" s="1"/>
  <c r="KJ25" i="7" s="1"/>
  <c r="KS25" i="7" s="1"/>
  <c r="IX24" i="7"/>
  <c r="LL24" i="7" s="1"/>
  <c r="HY24" i="7"/>
  <c r="LI24" i="7" s="1"/>
  <c r="LO24" i="7" s="1"/>
  <c r="HG24" i="7"/>
  <c r="HF24" i="7"/>
  <c r="IF24" i="7" s="1"/>
  <c r="IM24" i="7" s="1"/>
  <c r="KQ25" i="7" s="1"/>
  <c r="FO24" i="7"/>
  <c r="FN24" i="7"/>
  <c r="FM24" i="7"/>
  <c r="FP24" i="7" s="1"/>
  <c r="N24" i="7"/>
  <c r="K24" i="7"/>
  <c r="L11" i="7" s="1"/>
  <c r="H24" i="7"/>
  <c r="F24" i="7"/>
  <c r="G11" i="7" s="1"/>
  <c r="ML23" i="7"/>
  <c r="KB23" i="7"/>
  <c r="KA23" i="7"/>
  <c r="JZ23" i="7"/>
  <c r="JY23" i="7"/>
  <c r="JX23" i="7"/>
  <c r="JW23" i="7"/>
  <c r="JS23" i="7"/>
  <c r="JH23" i="7"/>
  <c r="JF23" i="7"/>
  <c r="JG23" i="7" s="1"/>
  <c r="JJ23" i="7" s="1"/>
  <c r="KJ24" i="7" s="1"/>
  <c r="KS24" i="7" s="1"/>
  <c r="IX23" i="7"/>
  <c r="LL23" i="7" s="1"/>
  <c r="HY23" i="7"/>
  <c r="LI23" i="7" s="1"/>
  <c r="LO23" i="7" s="1"/>
  <c r="HP23" i="7"/>
  <c r="HR23" i="7" s="1"/>
  <c r="HG23" i="7"/>
  <c r="IG23" i="7" s="1"/>
  <c r="HF23" i="7"/>
  <c r="IF23" i="7" s="1"/>
  <c r="IM23" i="7" s="1"/>
  <c r="KQ24" i="7" s="1"/>
  <c r="FP23" i="7"/>
  <c r="CF23" i="7"/>
  <c r="CI23" i="7" s="1"/>
  <c r="CJ23" i="7" s="1"/>
  <c r="KB22" i="7"/>
  <c r="KA22" i="7"/>
  <c r="JZ22" i="7"/>
  <c r="JY22" i="7"/>
  <c r="JX22" i="7"/>
  <c r="JW22" i="7"/>
  <c r="JS22" i="7"/>
  <c r="JH22" i="7"/>
  <c r="JF22" i="7"/>
  <c r="JG22" i="7" s="1"/>
  <c r="JJ22" i="7" s="1"/>
  <c r="KJ23" i="7" s="1"/>
  <c r="KS23" i="7" s="1"/>
  <c r="IX22" i="7"/>
  <c r="LL22" i="7" s="1"/>
  <c r="HY22" i="7"/>
  <c r="LI22" i="7" s="1"/>
  <c r="LO22" i="7" s="1"/>
  <c r="HG22" i="7"/>
  <c r="HF22" i="7"/>
  <c r="IF22" i="7" s="1"/>
  <c r="IM22" i="7" s="1"/>
  <c r="KQ23" i="7" s="1"/>
  <c r="FP22" i="7"/>
  <c r="CF22" i="7"/>
  <c r="CI22" i="7" s="1"/>
  <c r="CJ22" i="7" s="1"/>
  <c r="ML21" i="7"/>
  <c r="KB21" i="7"/>
  <c r="KA21" i="7"/>
  <c r="JZ21" i="7"/>
  <c r="JY21" i="7"/>
  <c r="JX21" i="7"/>
  <c r="JW21" i="7"/>
  <c r="JS21" i="7"/>
  <c r="JH21" i="7"/>
  <c r="JG21" i="7"/>
  <c r="JJ21" i="7" s="1"/>
  <c r="KJ22" i="7" s="1"/>
  <c r="KS22" i="7" s="1"/>
  <c r="JF21" i="7"/>
  <c r="IX21" i="7"/>
  <c r="LL21" i="7" s="1"/>
  <c r="HY21" i="7"/>
  <c r="LI21" i="7" s="1"/>
  <c r="LO21" i="7" s="1"/>
  <c r="HG21" i="7"/>
  <c r="HF21" i="7"/>
  <c r="IF21" i="7" s="1"/>
  <c r="IM21" i="7" s="1"/>
  <c r="KQ22" i="7" s="1"/>
  <c r="ML20" i="7"/>
  <c r="KB20" i="7"/>
  <c r="KA20" i="7"/>
  <c r="JZ20" i="7"/>
  <c r="JY20" i="7"/>
  <c r="JX20" i="7"/>
  <c r="JW20" i="7"/>
  <c r="JS20" i="7"/>
  <c r="JH20" i="7"/>
  <c r="JF20" i="7"/>
  <c r="JG20" i="7" s="1"/>
  <c r="JJ20" i="7" s="1"/>
  <c r="KJ21" i="7" s="1"/>
  <c r="KS21" i="7" s="1"/>
  <c r="IX20" i="7"/>
  <c r="LL20" i="7" s="1"/>
  <c r="HY20" i="7"/>
  <c r="LI20" i="7" s="1"/>
  <c r="LO20" i="7" s="1"/>
  <c r="HG20" i="7"/>
  <c r="HF20" i="7"/>
  <c r="IF20" i="7" s="1"/>
  <c r="IM20" i="7" s="1"/>
  <c r="KQ21" i="7" s="1"/>
  <c r="FO20" i="7"/>
  <c r="FO36" i="7" s="1"/>
  <c r="FN20" i="7"/>
  <c r="FN36" i="7" s="1"/>
  <c r="FM20" i="7"/>
  <c r="CE20" i="7"/>
  <c r="CB20" i="7"/>
  <c r="BY20" i="7"/>
  <c r="BV20" i="7"/>
  <c r="BR20" i="7"/>
  <c r="BN20" i="7"/>
  <c r="BJ20" i="7"/>
  <c r="BF20" i="7"/>
  <c r="BB20" i="7"/>
  <c r="AX20" i="7"/>
  <c r="H20" i="7"/>
  <c r="ML19" i="7"/>
  <c r="KB19" i="7"/>
  <c r="KA19" i="7"/>
  <c r="JZ19" i="7"/>
  <c r="JY19" i="7"/>
  <c r="JX19" i="7"/>
  <c r="JW19" i="7"/>
  <c r="JS19" i="7"/>
  <c r="JH19" i="7"/>
  <c r="JF19" i="7"/>
  <c r="JG19" i="7" s="1"/>
  <c r="JJ19" i="7" s="1"/>
  <c r="KJ20" i="7" s="1"/>
  <c r="KS20" i="7" s="1"/>
  <c r="IX19" i="7"/>
  <c r="LL19" i="7" s="1"/>
  <c r="HY19" i="7"/>
  <c r="LI19" i="7" s="1"/>
  <c r="LO19" i="7" s="1"/>
  <c r="HP19" i="7"/>
  <c r="HR19" i="7" s="1"/>
  <c r="HG19" i="7"/>
  <c r="IG19" i="7" s="1"/>
  <c r="HF19" i="7"/>
  <c r="IF19" i="7" s="1"/>
  <c r="IM19" i="7" s="1"/>
  <c r="KQ20" i="7" s="1"/>
  <c r="FP19" i="7"/>
  <c r="CE19" i="7"/>
  <c r="CB19" i="7"/>
  <c r="BY19" i="7"/>
  <c r="BV19" i="7"/>
  <c r="BR19" i="7"/>
  <c r="BN19" i="7"/>
  <c r="BJ19" i="7"/>
  <c r="BF19" i="7"/>
  <c r="BB19" i="7"/>
  <c r="AX19" i="7"/>
  <c r="H19" i="7"/>
  <c r="ML18" i="7"/>
  <c r="KB18" i="7"/>
  <c r="KA18" i="7"/>
  <c r="JZ18" i="7"/>
  <c r="JY18" i="7"/>
  <c r="JX18" i="7"/>
  <c r="JW18" i="7"/>
  <c r="JS18" i="7"/>
  <c r="JH18" i="7"/>
  <c r="JF18" i="7"/>
  <c r="JG18" i="7" s="1"/>
  <c r="JJ18" i="7" s="1"/>
  <c r="KJ19" i="7" s="1"/>
  <c r="KS19" i="7" s="1"/>
  <c r="IX18" i="7"/>
  <c r="LL18" i="7" s="1"/>
  <c r="HY18" i="7"/>
  <c r="LI18" i="7" s="1"/>
  <c r="LO18" i="7" s="1"/>
  <c r="HG18" i="7"/>
  <c r="HF18" i="7"/>
  <c r="IF18" i="7" s="1"/>
  <c r="IM18" i="7" s="1"/>
  <c r="KQ19" i="7" s="1"/>
  <c r="FP18" i="7"/>
  <c r="CE18" i="7"/>
  <c r="CB18" i="7"/>
  <c r="BY18" i="7"/>
  <c r="BV18" i="7"/>
  <c r="BR18" i="7"/>
  <c r="BN18" i="7"/>
  <c r="BJ18" i="7"/>
  <c r="BF18" i="7"/>
  <c r="BB18" i="7"/>
  <c r="AX18" i="7"/>
  <c r="ML17" i="7"/>
  <c r="KB17" i="7"/>
  <c r="KA17" i="7"/>
  <c r="JZ17" i="7"/>
  <c r="JY17" i="7"/>
  <c r="JX17" i="7"/>
  <c r="JW17" i="7"/>
  <c r="JS17" i="7"/>
  <c r="JH17" i="7"/>
  <c r="JG17" i="7"/>
  <c r="JJ17" i="7" s="1"/>
  <c r="KJ18" i="7" s="1"/>
  <c r="KS18" i="7" s="1"/>
  <c r="JF17" i="7"/>
  <c r="IX17" i="7"/>
  <c r="LL17" i="7" s="1"/>
  <c r="HY17" i="7"/>
  <c r="LI17" i="7" s="1"/>
  <c r="LO17" i="7" s="1"/>
  <c r="HG17" i="7"/>
  <c r="HF17" i="7"/>
  <c r="IF17" i="7" s="1"/>
  <c r="IM17" i="7" s="1"/>
  <c r="KQ18" i="7" s="1"/>
  <c r="FP17" i="7"/>
  <c r="CE17" i="7"/>
  <c r="CB17" i="7"/>
  <c r="BY17" i="7"/>
  <c r="BV17" i="7"/>
  <c r="BR17" i="7"/>
  <c r="BN17" i="7"/>
  <c r="BJ17" i="7"/>
  <c r="BF17" i="7"/>
  <c r="BB17" i="7"/>
  <c r="AX17" i="7"/>
  <c r="K17" i="7"/>
  <c r="ML16" i="7"/>
  <c r="KB16" i="7"/>
  <c r="KA16" i="7"/>
  <c r="JZ16" i="7"/>
  <c r="JY16" i="7"/>
  <c r="JX16" i="7"/>
  <c r="JW16" i="7"/>
  <c r="JS16" i="7"/>
  <c r="JH16" i="7"/>
  <c r="JF16" i="7"/>
  <c r="JG16" i="7" s="1"/>
  <c r="JJ16" i="7" s="1"/>
  <c r="KJ17" i="7" s="1"/>
  <c r="KS17" i="7" s="1"/>
  <c r="IX16" i="7"/>
  <c r="LL16" i="7" s="1"/>
  <c r="HY16" i="7"/>
  <c r="LI16" i="7" s="1"/>
  <c r="LO16" i="7" s="1"/>
  <c r="HG16" i="7"/>
  <c r="HF16" i="7"/>
  <c r="IF16" i="7" s="1"/>
  <c r="IM16" i="7" s="1"/>
  <c r="KQ17" i="7" s="1"/>
  <c r="FP16" i="7"/>
  <c r="CE16" i="7"/>
  <c r="CB16" i="7"/>
  <c r="BY16" i="7"/>
  <c r="BV16" i="7"/>
  <c r="BR16" i="7"/>
  <c r="BN16" i="7"/>
  <c r="BJ16" i="7"/>
  <c r="BF16" i="7"/>
  <c r="BB16" i="7"/>
  <c r="AX16" i="7"/>
  <c r="AN16" i="7"/>
  <c r="AN17" i="7" s="1"/>
  <c r="AN18" i="7" s="1"/>
  <c r="AN19" i="7" s="1"/>
  <c r="AN20" i="7" s="1"/>
  <c r="I16" i="7"/>
  <c r="H16" i="7"/>
  <c r="J16" i="7" s="1"/>
  <c r="G16" i="7"/>
  <c r="F16" i="7"/>
  <c r="AJ9" i="7" s="1"/>
  <c r="ML15" i="7"/>
  <c r="KB15" i="7"/>
  <c r="KA15" i="7"/>
  <c r="JZ15" i="7"/>
  <c r="JY15" i="7"/>
  <c r="JX15" i="7"/>
  <c r="JW15" i="7"/>
  <c r="JS15" i="7"/>
  <c r="JH15" i="7"/>
  <c r="JF15" i="7"/>
  <c r="JG15" i="7" s="1"/>
  <c r="JJ15" i="7" s="1"/>
  <c r="KJ16" i="7" s="1"/>
  <c r="KS16" i="7" s="1"/>
  <c r="IX15" i="7"/>
  <c r="LL15" i="7" s="1"/>
  <c r="HY15" i="7"/>
  <c r="LI15" i="7" s="1"/>
  <c r="LO15" i="7" s="1"/>
  <c r="HG15" i="7"/>
  <c r="HF15" i="7"/>
  <c r="IF15" i="7" s="1"/>
  <c r="IM15" i="7" s="1"/>
  <c r="KQ16" i="7" s="1"/>
  <c r="FP15" i="7"/>
  <c r="CG15" i="7"/>
  <c r="CH15" i="7" s="1"/>
  <c r="CF15" i="7"/>
  <c r="CI15" i="7" s="1"/>
  <c r="CJ15" i="7" s="1"/>
  <c r="CE15" i="7"/>
  <c r="CB15" i="7"/>
  <c r="BY15" i="7"/>
  <c r="BV15" i="7"/>
  <c r="BR15" i="7"/>
  <c r="BN15" i="7"/>
  <c r="BJ15" i="7"/>
  <c r="BF15" i="7"/>
  <c r="BB15" i="7"/>
  <c r="AX15" i="7"/>
  <c r="J15" i="7"/>
  <c r="I15" i="7"/>
  <c r="H15" i="7"/>
  <c r="F15" i="7"/>
  <c r="ML14" i="7"/>
  <c r="KB14" i="7"/>
  <c r="KA14" i="7"/>
  <c r="JZ14" i="7"/>
  <c r="JY14" i="7"/>
  <c r="JX14" i="7"/>
  <c r="JW14" i="7"/>
  <c r="JS14" i="7"/>
  <c r="JH14" i="7"/>
  <c r="JF14" i="7"/>
  <c r="JG14" i="7" s="1"/>
  <c r="JJ14" i="7" s="1"/>
  <c r="KJ15" i="7" s="1"/>
  <c r="KS15" i="7" s="1"/>
  <c r="IX14" i="7"/>
  <c r="LL14" i="7" s="1"/>
  <c r="HY14" i="7"/>
  <c r="LI14" i="7" s="1"/>
  <c r="LO14" i="7" s="1"/>
  <c r="HP14" i="7"/>
  <c r="HR14" i="7" s="1"/>
  <c r="HG14" i="7"/>
  <c r="IG14" i="7" s="1"/>
  <c r="HF14" i="7"/>
  <c r="IF14" i="7" s="1"/>
  <c r="IM14" i="7" s="1"/>
  <c r="KQ15" i="7" s="1"/>
  <c r="FP14" i="7"/>
  <c r="CF14" i="7"/>
  <c r="CI14" i="7" s="1"/>
  <c r="CJ14" i="7" s="1"/>
  <c r="CE14" i="7"/>
  <c r="CB14" i="7"/>
  <c r="BY14" i="7"/>
  <c r="BV14" i="7"/>
  <c r="BR14" i="7"/>
  <c r="BN14" i="7"/>
  <c r="BJ14" i="7"/>
  <c r="BF14" i="7"/>
  <c r="BB14" i="7"/>
  <c r="AX14" i="7"/>
  <c r="ML13" i="7"/>
  <c r="KB13" i="7"/>
  <c r="KA13" i="7"/>
  <c r="JZ13" i="7"/>
  <c r="JY13" i="7"/>
  <c r="JX13" i="7"/>
  <c r="JW13" i="7"/>
  <c r="JS13" i="7"/>
  <c r="JH13" i="7"/>
  <c r="JF13" i="7"/>
  <c r="JG13" i="7" s="1"/>
  <c r="JJ13" i="7" s="1"/>
  <c r="KJ14" i="7" s="1"/>
  <c r="KS14" i="7" s="1"/>
  <c r="IX13" i="7"/>
  <c r="LL13" i="7" s="1"/>
  <c r="HY13" i="7"/>
  <c r="LI13" i="7" s="1"/>
  <c r="LO13" i="7" s="1"/>
  <c r="HG13" i="7"/>
  <c r="HF13" i="7"/>
  <c r="IF13" i="7" s="1"/>
  <c r="IM13" i="7" s="1"/>
  <c r="KQ14" i="7" s="1"/>
  <c r="FP13" i="7"/>
  <c r="CE13" i="7"/>
  <c r="CB13" i="7"/>
  <c r="BY13" i="7"/>
  <c r="BV13" i="7"/>
  <c r="BR13" i="7"/>
  <c r="BN13" i="7"/>
  <c r="BJ13" i="7"/>
  <c r="BF13" i="7"/>
  <c r="BB13" i="7"/>
  <c r="AX13" i="7"/>
  <c r="ML12" i="7"/>
  <c r="KB12" i="7"/>
  <c r="KA12" i="7"/>
  <c r="JZ12" i="7"/>
  <c r="JY12" i="7"/>
  <c r="JX12" i="7"/>
  <c r="JW12" i="7"/>
  <c r="JS12" i="7"/>
  <c r="JH12" i="7"/>
  <c r="JG12" i="7"/>
  <c r="JJ12" i="7" s="1"/>
  <c r="KJ13" i="7" s="1"/>
  <c r="KS13" i="7" s="1"/>
  <c r="JF12" i="7"/>
  <c r="IX12" i="7"/>
  <c r="LL12" i="7" s="1"/>
  <c r="HY12" i="7"/>
  <c r="LI12" i="7" s="1"/>
  <c r="LO12" i="7" s="1"/>
  <c r="HG12" i="7"/>
  <c r="HF12" i="7"/>
  <c r="IF12" i="7" s="1"/>
  <c r="IM12" i="7" s="1"/>
  <c r="KQ13" i="7" s="1"/>
  <c r="GH12" i="7"/>
  <c r="H10" i="7" s="1"/>
  <c r="GG12" i="7"/>
  <c r="GF12" i="7"/>
  <c r="GE12" i="7"/>
  <c r="GD12" i="7"/>
  <c r="F10" i="7" s="1"/>
  <c r="GC12" i="7"/>
  <c r="GB12" i="7"/>
  <c r="GA12" i="7"/>
  <c r="FP12" i="7"/>
  <c r="EC12" i="7"/>
  <c r="H17" i="7" s="1"/>
  <c r="EB12" i="7"/>
  <c r="EA12" i="7"/>
  <c r="DZ12" i="7"/>
  <c r="DY12" i="7"/>
  <c r="F17" i="7" s="1"/>
  <c r="DX12" i="7"/>
  <c r="DW12" i="7"/>
  <c r="DV12" i="7"/>
  <c r="AA12" i="7"/>
  <c r="Z12" i="7"/>
  <c r="Y12" i="7"/>
  <c r="X12" i="7"/>
  <c r="ML11" i="7"/>
  <c r="MC11" i="7"/>
  <c r="LI11" i="7"/>
  <c r="KB11" i="7"/>
  <c r="KA11" i="7"/>
  <c r="JZ11" i="7"/>
  <c r="JY11" i="7"/>
  <c r="JX11" i="7"/>
  <c r="JW11" i="7"/>
  <c r="JS11" i="7"/>
  <c r="JH11" i="7"/>
  <c r="JF11" i="7"/>
  <c r="JG11" i="7" s="1"/>
  <c r="JJ11" i="7" s="1"/>
  <c r="KJ12" i="7" s="1"/>
  <c r="KS12" i="7" s="1"/>
  <c r="IX11" i="7"/>
  <c r="LL11" i="7" s="1"/>
  <c r="HY11" i="7"/>
  <c r="HG11" i="7"/>
  <c r="HF11" i="7"/>
  <c r="IF11" i="7" s="1"/>
  <c r="IM11" i="7" s="1"/>
  <c r="KQ12" i="7" s="1"/>
  <c r="GH11" i="7"/>
  <c r="GD11" i="7"/>
  <c r="FP11" i="7"/>
  <c r="CE11" i="7"/>
  <c r="CB11" i="7"/>
  <c r="BY11" i="7"/>
  <c r="BV11" i="7"/>
  <c r="BR11" i="7"/>
  <c r="BN11" i="7"/>
  <c r="BJ11" i="7"/>
  <c r="BF11" i="7"/>
  <c r="BB11" i="7"/>
  <c r="AX11" i="7"/>
  <c r="M11" i="7"/>
  <c r="J11" i="7"/>
  <c r="ML10" i="7"/>
  <c r="KB10" i="7"/>
  <c r="KA10" i="7"/>
  <c r="JZ10" i="7"/>
  <c r="JY10" i="7"/>
  <c r="JX10" i="7"/>
  <c r="JW10" i="7"/>
  <c r="JS10" i="7"/>
  <c r="JH10" i="7"/>
  <c r="JF10" i="7"/>
  <c r="JG10" i="7" s="1"/>
  <c r="JJ10" i="7" s="1"/>
  <c r="KJ11" i="7" s="1"/>
  <c r="KS11" i="7" s="1"/>
  <c r="IX10" i="7"/>
  <c r="LL10" i="7" s="1"/>
  <c r="HY10" i="7"/>
  <c r="LI10" i="7" s="1"/>
  <c r="LO10" i="7" s="1"/>
  <c r="HG10" i="7"/>
  <c r="HF10" i="7"/>
  <c r="IF10" i="7" s="1"/>
  <c r="IM10" i="7" s="1"/>
  <c r="KQ11" i="7" s="1"/>
  <c r="GH10" i="7"/>
  <c r="GD10" i="7"/>
  <c r="FP10" i="7"/>
  <c r="CE10" i="7"/>
  <c r="CB10" i="7"/>
  <c r="BY10" i="7"/>
  <c r="BV10" i="7"/>
  <c r="BR10" i="7"/>
  <c r="BN10" i="7"/>
  <c r="BJ10" i="7"/>
  <c r="BF10" i="7"/>
  <c r="BB10" i="7"/>
  <c r="AX10" i="7"/>
  <c r="AA10" i="7"/>
  <c r="AA11" i="7" s="1"/>
  <c r="ML9" i="7"/>
  <c r="KB9" i="7"/>
  <c r="KA9" i="7"/>
  <c r="JZ9" i="7"/>
  <c r="JY9" i="7"/>
  <c r="JX9" i="7"/>
  <c r="JW9" i="7"/>
  <c r="JS9" i="7"/>
  <c r="JH9" i="7"/>
  <c r="JF9" i="7"/>
  <c r="JG9" i="7" s="1"/>
  <c r="JJ9" i="7" s="1"/>
  <c r="KJ10" i="7" s="1"/>
  <c r="KS10" i="7" s="1"/>
  <c r="IX9" i="7"/>
  <c r="LL9" i="7" s="1"/>
  <c r="HY9" i="7"/>
  <c r="LI9" i="7" s="1"/>
  <c r="LO9" i="7" s="1"/>
  <c r="HG9" i="7"/>
  <c r="HF9" i="7"/>
  <c r="IF9" i="7" s="1"/>
  <c r="IM9" i="7" s="1"/>
  <c r="KQ10" i="7" s="1"/>
  <c r="GT9" i="7"/>
  <c r="GS9" i="7"/>
  <c r="GR9" i="7"/>
  <c r="GU9" i="7" s="1"/>
  <c r="GP9" i="7"/>
  <c r="GO9" i="7"/>
  <c r="GN9" i="7"/>
  <c r="GQ9" i="7" s="1"/>
  <c r="GH9" i="7"/>
  <c r="GD9" i="7"/>
  <c r="FP9" i="7"/>
  <c r="FF9" i="7"/>
  <c r="FB9" i="7"/>
  <c r="FA9" i="7"/>
  <c r="EZ9" i="7"/>
  <c r="EX9" i="7"/>
  <c r="EW9" i="7"/>
  <c r="EV9" i="7"/>
  <c r="EO9" i="7"/>
  <c r="EN9" i="7"/>
  <c r="EM9" i="7"/>
  <c r="EK9" i="7"/>
  <c r="EJ9" i="7"/>
  <c r="EI9" i="7"/>
  <c r="DP9" i="7"/>
  <c r="DO9" i="7"/>
  <c r="AJ11" i="7" s="1"/>
  <c r="DN9" i="7"/>
  <c r="DM9" i="7"/>
  <c r="DG9" i="7"/>
  <c r="DF9" i="7"/>
  <c r="DE9" i="7"/>
  <c r="AI11" i="7" s="1"/>
  <c r="DD9" i="7"/>
  <c r="DC9" i="7"/>
  <c r="CV9" i="7"/>
  <c r="CU9" i="7"/>
  <c r="CT9" i="7"/>
  <c r="AH11" i="7" s="1"/>
  <c r="CR9" i="7"/>
  <c r="CQ9" i="7"/>
  <c r="CP9" i="7"/>
  <c r="CE9" i="7"/>
  <c r="CB9" i="7"/>
  <c r="BY9" i="7"/>
  <c r="BV9" i="7"/>
  <c r="BR9" i="7"/>
  <c r="BN9" i="7"/>
  <c r="BJ9" i="7"/>
  <c r="BF9" i="7"/>
  <c r="BB9" i="7"/>
  <c r="AX9" i="7"/>
  <c r="N9" i="7"/>
  <c r="K9" i="7"/>
  <c r="ML8" i="7"/>
  <c r="MK8" i="7"/>
  <c r="MK9" i="7" s="1"/>
  <c r="MK10" i="7" s="1"/>
  <c r="MK11" i="7" s="1"/>
  <c r="MK12" i="7" s="1"/>
  <c r="MK13" i="7" s="1"/>
  <c r="MK14" i="7" s="1"/>
  <c r="MK15" i="7" s="1"/>
  <c r="MK16" i="7" s="1"/>
  <c r="MK17" i="7" s="1"/>
  <c r="MK18" i="7" s="1"/>
  <c r="MK19" i="7" s="1"/>
  <c r="MK20" i="7" s="1"/>
  <c r="MK21" i="7" s="1"/>
  <c r="MK22" i="7" s="1"/>
  <c r="MK23" i="7" s="1"/>
  <c r="MK24" i="7" s="1"/>
  <c r="MK25" i="7" s="1"/>
  <c r="MK26" i="7" s="1"/>
  <c r="MK27" i="7" s="1"/>
  <c r="MK28" i="7" s="1"/>
  <c r="MK29" i="7" s="1"/>
  <c r="MK30" i="7" s="1"/>
  <c r="MK31" i="7" s="1"/>
  <c r="MK32" i="7" s="1"/>
  <c r="MK34" i="7" s="1"/>
  <c r="MK35" i="7" s="1"/>
  <c r="MA8" i="7"/>
  <c r="MA9" i="7" s="1"/>
  <c r="MA10" i="7" s="1"/>
  <c r="MA11" i="7" s="1"/>
  <c r="MA12" i="7" s="1"/>
  <c r="MA13" i="7" s="1"/>
  <c r="MA14" i="7" s="1"/>
  <c r="MA15" i="7" s="1"/>
  <c r="MA16" i="7" s="1"/>
  <c r="MA17" i="7" s="1"/>
  <c r="MA18" i="7" s="1"/>
  <c r="MA19" i="7" s="1"/>
  <c r="MA20" i="7" s="1"/>
  <c r="MA21" i="7" s="1"/>
  <c r="MA22" i="7" s="1"/>
  <c r="MA23" i="7" s="1"/>
  <c r="MA24" i="7" s="1"/>
  <c r="MA25" i="7" s="1"/>
  <c r="MA26" i="7" s="1"/>
  <c r="MA27" i="7" s="1"/>
  <c r="MA28" i="7" s="1"/>
  <c r="MA29" i="7" s="1"/>
  <c r="MA30" i="7" s="1"/>
  <c r="MA31" i="7" s="1"/>
  <c r="MA32" i="7" s="1"/>
  <c r="MA34" i="7" s="1"/>
  <c r="MA35" i="7" s="1"/>
  <c r="KB8" i="7"/>
  <c r="KA8" i="7"/>
  <c r="JZ8" i="7"/>
  <c r="JY8" i="7"/>
  <c r="JX8" i="7"/>
  <c r="JW8" i="7"/>
  <c r="JS8" i="7"/>
  <c r="JH8" i="7"/>
  <c r="JF8" i="7"/>
  <c r="JJ8" i="7" s="1"/>
  <c r="KJ9" i="7" s="1"/>
  <c r="KS9" i="7" s="1"/>
  <c r="IX8" i="7"/>
  <c r="LL8" i="7" s="1"/>
  <c r="HY8" i="7"/>
  <c r="LI8" i="7" s="1"/>
  <c r="LO8" i="7" s="1"/>
  <c r="HG8" i="7"/>
  <c r="HF8" i="7"/>
  <c r="IF8" i="7" s="1"/>
  <c r="IM8" i="7" s="1"/>
  <c r="KQ9" i="7" s="1"/>
  <c r="GU8" i="7"/>
  <c r="GQ8" i="7"/>
  <c r="GH8" i="7"/>
  <c r="GD8" i="7"/>
  <c r="FP8" i="7"/>
  <c r="FJ8" i="7"/>
  <c r="FJ9" i="7" s="1"/>
  <c r="FJ10" i="7" s="1"/>
  <c r="FJ11" i="7" s="1"/>
  <c r="FJ12" i="7" s="1"/>
  <c r="FJ13" i="7" s="1"/>
  <c r="FJ14" i="7" s="1"/>
  <c r="FJ15" i="7" s="1"/>
  <c r="FJ16" i="7" s="1"/>
  <c r="FJ17" i="7" s="1"/>
  <c r="FJ18" i="7" s="1"/>
  <c r="FJ19" i="7" s="1"/>
  <c r="FJ20" i="7" s="1"/>
  <c r="FJ21" i="7" s="1"/>
  <c r="FJ22" i="7" s="1"/>
  <c r="FJ23" i="7" s="1"/>
  <c r="FJ24" i="7" s="1"/>
  <c r="FJ25" i="7" s="1"/>
  <c r="FJ26" i="7" s="1"/>
  <c r="FJ27" i="7" s="1"/>
  <c r="FJ28" i="7" s="1"/>
  <c r="FJ29" i="7" s="1"/>
  <c r="FJ30" i="7" s="1"/>
  <c r="FJ31" i="7" s="1"/>
  <c r="FJ32" i="7" s="1"/>
  <c r="FJ33" i="7" s="1"/>
  <c r="FJ34" i="7" s="1"/>
  <c r="FJ35" i="7" s="1"/>
  <c r="FJ36" i="7" s="1"/>
  <c r="FC8" i="7"/>
  <c r="EY8" i="7"/>
  <c r="EP8" i="7"/>
  <c r="EL8" i="7"/>
  <c r="CW8" i="7"/>
  <c r="CS8" i="7"/>
  <c r="CE8" i="7"/>
  <c r="CB8" i="7"/>
  <c r="BY8" i="7"/>
  <c r="BV8" i="7"/>
  <c r="BR8" i="7"/>
  <c r="BN8" i="7"/>
  <c r="BJ8" i="7"/>
  <c r="BF8" i="7"/>
  <c r="BB8" i="7"/>
  <c r="AX8" i="7"/>
  <c r="AF8" i="7"/>
  <c r="AF9" i="7" s="1"/>
  <c r="AF10" i="7" s="1"/>
  <c r="AF11" i="7" s="1"/>
  <c r="AF12" i="7" s="1"/>
  <c r="AF13" i="7" s="1"/>
  <c r="AF14" i="7" s="1"/>
  <c r="AF15" i="7" s="1"/>
  <c r="AF16" i="7" s="1"/>
  <c r="AF17" i="7" s="1"/>
  <c r="AF18" i="7" s="1"/>
  <c r="AF19" i="7" s="1"/>
  <c r="AF20" i="7" s="1"/>
  <c r="AF21" i="7" s="1"/>
  <c r="Z8" i="7"/>
  <c r="Y8" i="7"/>
  <c r="X8" i="7"/>
  <c r="N8" i="7"/>
  <c r="K8" i="7"/>
  <c r="H8" i="7"/>
  <c r="F8" i="7"/>
  <c r="B8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4" i="7" s="1"/>
  <c r="B25" i="7" s="1"/>
  <c r="ML7" i="7"/>
  <c r="LU7" i="7"/>
  <c r="LU8" i="7" s="1"/>
  <c r="LU9" i="7" s="1"/>
  <c r="LU10" i="7" s="1"/>
  <c r="LU11" i="7" s="1"/>
  <c r="LU12" i="7" s="1"/>
  <c r="LU13" i="7" s="1"/>
  <c r="KH7" i="7"/>
  <c r="KH8" i="7" s="1"/>
  <c r="KH9" i="7" s="1"/>
  <c r="KH10" i="7" s="1"/>
  <c r="KH11" i="7" s="1"/>
  <c r="KH12" i="7" s="1"/>
  <c r="KH13" i="7" s="1"/>
  <c r="KH14" i="7" s="1"/>
  <c r="KH15" i="7" s="1"/>
  <c r="KH16" i="7" s="1"/>
  <c r="KH17" i="7" s="1"/>
  <c r="KH18" i="7" s="1"/>
  <c r="KH19" i="7" s="1"/>
  <c r="KH20" i="7" s="1"/>
  <c r="KH21" i="7" s="1"/>
  <c r="KH22" i="7" s="1"/>
  <c r="KH23" i="7" s="1"/>
  <c r="KH24" i="7" s="1"/>
  <c r="KH25" i="7" s="1"/>
  <c r="KH26" i="7" s="1"/>
  <c r="KH27" i="7" s="1"/>
  <c r="KH28" i="7" s="1"/>
  <c r="KB7" i="7"/>
  <c r="KA7" i="7"/>
  <c r="KA26" i="7" s="1"/>
  <c r="JZ7" i="7"/>
  <c r="JY7" i="7"/>
  <c r="JY26" i="7" s="1"/>
  <c r="JX7" i="7"/>
  <c r="JW7" i="7"/>
  <c r="JS7" i="7"/>
  <c r="JH7" i="7"/>
  <c r="JF7" i="7"/>
  <c r="IX7" i="7"/>
  <c r="LL7" i="7" s="1"/>
  <c r="HY7" i="7"/>
  <c r="LI7" i="7" s="1"/>
  <c r="LO7" i="7" s="1"/>
  <c r="HG7" i="7"/>
  <c r="HF7" i="7"/>
  <c r="IF7" i="7" s="1"/>
  <c r="IM7" i="7" s="1"/>
  <c r="GU7" i="7"/>
  <c r="H7" i="7" s="1"/>
  <c r="GQ7" i="7"/>
  <c r="F7" i="7" s="1"/>
  <c r="GD7" i="7"/>
  <c r="FP7" i="7"/>
  <c r="FC7" i="7"/>
  <c r="EY7" i="7"/>
  <c r="EY9" i="7" s="1"/>
  <c r="F19" i="7" s="1"/>
  <c r="G19" i="7" s="1"/>
  <c r="EP7" i="7"/>
  <c r="EP9" i="7" s="1"/>
  <c r="H18" i="7" s="1"/>
  <c r="EL7" i="7"/>
  <c r="EL9" i="7" s="1"/>
  <c r="F18" i="7" s="1"/>
  <c r="CW7" i="7"/>
  <c r="CW9" i="7" s="1"/>
  <c r="H14" i="7" s="1"/>
  <c r="CS7" i="7"/>
  <c r="CS9" i="7" s="1"/>
  <c r="F14" i="7" s="1"/>
  <c r="CE7" i="7"/>
  <c r="CB7" i="7"/>
  <c r="BY7" i="7"/>
  <c r="BV7" i="7"/>
  <c r="BR7" i="7"/>
  <c r="BN7" i="7"/>
  <c r="BJ7" i="7"/>
  <c r="BF7" i="7"/>
  <c r="BB7" i="7"/>
  <c r="AX7" i="7"/>
  <c r="AJ7" i="7"/>
  <c r="AJ8" i="7" s="1"/>
  <c r="AI7" i="7"/>
  <c r="AI8" i="7" s="1"/>
  <c r="AH7" i="7"/>
  <c r="AH8" i="7" s="1"/>
  <c r="AA7" i="7"/>
  <c r="AA8" i="7" s="1"/>
  <c r="V7" i="7"/>
  <c r="V8" i="7" s="1"/>
  <c r="V10" i="7" s="1"/>
  <c r="V11" i="7" s="1"/>
  <c r="V12" i="7" s="1"/>
  <c r="V14" i="7" s="1"/>
  <c r="V15" i="7" s="1"/>
  <c r="V16" i="7" s="1"/>
  <c r="V18" i="7" s="1"/>
  <c r="V19" i="7" s="1"/>
  <c r="V20" i="7" s="1"/>
  <c r="N7" i="7"/>
  <c r="K7" i="7"/>
  <c r="B7" i="7"/>
  <c r="KA6" i="7"/>
  <c r="JY6" i="7"/>
  <c r="JW6" i="7"/>
  <c r="JS6" i="7"/>
  <c r="JH6" i="7"/>
  <c r="JF6" i="7"/>
  <c r="JJ6" i="7" s="1"/>
  <c r="KJ7" i="7" s="1"/>
  <c r="KS7" i="7" s="1"/>
  <c r="IX6" i="7"/>
  <c r="LL6" i="7" s="1"/>
  <c r="LL26" i="7" s="1"/>
  <c r="HY6" i="7"/>
  <c r="LI6" i="7" s="1"/>
  <c r="HG6" i="7"/>
  <c r="HF6" i="7"/>
  <c r="IF6" i="7" s="1"/>
  <c r="IM6" i="7" s="1"/>
  <c r="GU6" i="7"/>
  <c r="GQ6" i="7"/>
  <c r="GH6" i="7"/>
  <c r="GD6" i="7"/>
  <c r="FC6" i="7"/>
  <c r="EY6" i="7"/>
  <c r="EP6" i="7"/>
  <c r="EL6" i="7"/>
  <c r="DY6" i="7"/>
  <c r="CW6" i="7"/>
  <c r="CS6" i="7"/>
  <c r="JR5" i="7"/>
  <c r="KO4" i="7"/>
  <c r="KQ4" i="7" s="1"/>
  <c r="JY4" i="7"/>
  <c r="JT4" i="7"/>
  <c r="JS4" i="7"/>
  <c r="IH4" i="7"/>
  <c r="HP4" i="7"/>
  <c r="FS4" i="7"/>
  <c r="FQ4" i="7"/>
  <c r="AJ4" i="7"/>
  <c r="AI4" i="7"/>
  <c r="AH4" i="7"/>
  <c r="CT3" i="7"/>
  <c r="DE3" i="7" s="1"/>
  <c r="CP3" i="7"/>
  <c r="DC3" i="7" s="1"/>
  <c r="BP2" i="6"/>
  <c r="CZ2" i="6"/>
  <c r="DA2" i="6"/>
  <c r="DB2" i="6"/>
  <c r="FK2" i="6"/>
  <c r="HR2" i="6"/>
  <c r="JH2" i="6"/>
  <c r="J4" i="6"/>
  <c r="O4" i="6"/>
  <c r="V4" i="6"/>
  <c r="AQ4" i="6"/>
  <c r="AS4" i="6"/>
  <c r="AT4" i="6"/>
  <c r="AU4" i="6"/>
  <c r="BE4" i="6"/>
  <c r="BN2" i="6" s="1"/>
  <c r="BL4" i="6"/>
  <c r="CI4" i="6"/>
  <c r="CZ4" i="6"/>
  <c r="CZ7" i="6" s="1"/>
  <c r="DK28" i="6" s="1"/>
  <c r="DA4" i="6"/>
  <c r="DA7" i="6" s="1"/>
  <c r="DM28" i="6" s="1"/>
  <c r="DB4" i="6"/>
  <c r="DB7" i="6" s="1"/>
  <c r="DO28" i="6" s="1"/>
  <c r="DH4" i="6"/>
  <c r="EH4" i="6"/>
  <c r="EN4" i="6"/>
  <c r="FI4" i="6"/>
  <c r="GG4" i="6"/>
  <c r="GQ4" i="6"/>
  <c r="GV4" i="6"/>
  <c r="GZ4" i="6"/>
  <c r="HQ4" i="6"/>
  <c r="HS4" i="6"/>
  <c r="IS4" i="6"/>
  <c r="JG4" i="6"/>
  <c r="JI4" i="6"/>
  <c r="JV4" i="6"/>
  <c r="I5" i="6"/>
  <c r="J5" i="6"/>
  <c r="M5" i="6"/>
  <c r="O5" i="6"/>
  <c r="O28" i="6" s="1"/>
  <c r="U5" i="6"/>
  <c r="V5" i="6"/>
  <c r="AC5" i="6"/>
  <c r="AJ5" i="6"/>
  <c r="AP5" i="6"/>
  <c r="AQ5" i="6"/>
  <c r="AS5" i="6"/>
  <c r="AT5" i="6"/>
  <c r="AT28" i="6" s="1"/>
  <c r="AU5" i="6"/>
  <c r="BK5" i="6"/>
  <c r="BL5" i="6"/>
  <c r="BP5" i="6"/>
  <c r="BW5" i="6"/>
  <c r="CH5" i="6"/>
  <c r="CI5" i="6"/>
  <c r="CK5" i="6"/>
  <c r="CU5" i="6"/>
  <c r="CZ5" i="6"/>
  <c r="DA5" i="6"/>
  <c r="DB5" i="6"/>
  <c r="DG5" i="6"/>
  <c r="DH5" i="6"/>
  <c r="DN5" i="6"/>
  <c r="DV5" i="6"/>
  <c r="EH5" i="6"/>
  <c r="EM5" i="6"/>
  <c r="EN5" i="6"/>
  <c r="ET5" i="6"/>
  <c r="FH5" i="6"/>
  <c r="FI5" i="6"/>
  <c r="FQ5" i="6"/>
  <c r="GF5" i="6"/>
  <c r="GG5" i="6"/>
  <c r="GQ5" i="6"/>
  <c r="GQ28" i="6" s="1"/>
  <c r="GU5" i="6"/>
  <c r="GV5" i="6"/>
  <c r="GZ5" i="6"/>
  <c r="HP5" i="6"/>
  <c r="HQ5" i="6"/>
  <c r="HS5" i="6"/>
  <c r="IS5" i="6"/>
  <c r="JF5" i="6"/>
  <c r="JF6" i="6" s="1"/>
  <c r="JF7" i="6" s="1"/>
  <c r="JF8" i="6" s="1"/>
  <c r="JF9" i="6" s="1"/>
  <c r="JF10" i="6" s="1"/>
  <c r="JF11" i="6" s="1"/>
  <c r="JF12" i="6" s="1"/>
  <c r="JF13" i="6" s="1"/>
  <c r="JF14" i="6" s="1"/>
  <c r="JF15" i="6" s="1"/>
  <c r="JF16" i="6" s="1"/>
  <c r="JF17" i="6" s="1"/>
  <c r="JF18" i="6" s="1"/>
  <c r="JF19" i="6" s="1"/>
  <c r="JF20" i="6" s="1"/>
  <c r="JF21" i="6" s="1"/>
  <c r="JF22" i="6" s="1"/>
  <c r="JF23" i="6" s="1"/>
  <c r="JF24" i="6" s="1"/>
  <c r="JF25" i="6" s="1"/>
  <c r="JF26" i="6" s="1"/>
  <c r="JF27" i="6" s="1"/>
  <c r="JG5" i="6"/>
  <c r="JI5" i="6"/>
  <c r="JV5" i="6"/>
  <c r="KB4" i="6" s="1"/>
  <c r="I6" i="6"/>
  <c r="I7" i="6" s="1"/>
  <c r="I8" i="6" s="1"/>
  <c r="I9" i="6" s="1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J6" i="6"/>
  <c r="M6" i="6"/>
  <c r="O6" i="6"/>
  <c r="U6" i="6"/>
  <c r="U7" i="6" s="1"/>
  <c r="U8" i="6" s="1"/>
  <c r="U9" i="6" s="1"/>
  <c r="U10" i="6" s="1"/>
  <c r="U11" i="6" s="1"/>
  <c r="U12" i="6" s="1"/>
  <c r="U13" i="6" s="1"/>
  <c r="U14" i="6" s="1"/>
  <c r="U15" i="6" s="1"/>
  <c r="U16" i="6" s="1"/>
  <c r="U17" i="6" s="1"/>
  <c r="U18" i="6" s="1"/>
  <c r="U19" i="6" s="1"/>
  <c r="U20" i="6" s="1"/>
  <c r="U21" i="6" s="1"/>
  <c r="U22" i="6" s="1"/>
  <c r="U23" i="6" s="1"/>
  <c r="U24" i="6" s="1"/>
  <c r="U25" i="6" s="1"/>
  <c r="U26" i="6" s="1"/>
  <c r="U27" i="6" s="1"/>
  <c r="U28" i="6" s="1"/>
  <c r="V6" i="6"/>
  <c r="AC6" i="6"/>
  <c r="AC7" i="6" s="1"/>
  <c r="AC8" i="6" s="1"/>
  <c r="AC9" i="6" s="1"/>
  <c r="AC10" i="6" s="1"/>
  <c r="AC11" i="6" s="1"/>
  <c r="AC12" i="6" s="1"/>
  <c r="AC13" i="6" s="1"/>
  <c r="AC14" i="6" s="1"/>
  <c r="AC15" i="6" s="1"/>
  <c r="AC16" i="6" s="1"/>
  <c r="AC17" i="6" s="1"/>
  <c r="AC18" i="6" s="1"/>
  <c r="AC19" i="6" s="1"/>
  <c r="AC20" i="6" s="1"/>
  <c r="AC21" i="6" s="1"/>
  <c r="AC22" i="6" s="1"/>
  <c r="AC23" i="6" s="1"/>
  <c r="AC24" i="6" s="1"/>
  <c r="AC25" i="6" s="1"/>
  <c r="AC26" i="6" s="1"/>
  <c r="AC27" i="6" s="1"/>
  <c r="AJ6" i="6"/>
  <c r="AJ7" i="6" s="1"/>
  <c r="AP6" i="6"/>
  <c r="AP7" i="6" s="1"/>
  <c r="AP8" i="6" s="1"/>
  <c r="AP9" i="6" s="1"/>
  <c r="AP10" i="6" s="1"/>
  <c r="AP11" i="6" s="1"/>
  <c r="AP12" i="6" s="1"/>
  <c r="AP13" i="6" s="1"/>
  <c r="AP14" i="6" s="1"/>
  <c r="AP15" i="6" s="1"/>
  <c r="AP16" i="6" s="1"/>
  <c r="AP17" i="6" s="1"/>
  <c r="AP18" i="6" s="1"/>
  <c r="AP19" i="6" s="1"/>
  <c r="AP20" i="6" s="1"/>
  <c r="AP21" i="6" s="1"/>
  <c r="AP22" i="6" s="1"/>
  <c r="AP23" i="6" s="1"/>
  <c r="AP24" i="6" s="1"/>
  <c r="AP25" i="6" s="1"/>
  <c r="AP26" i="6" s="1"/>
  <c r="AP27" i="6" s="1"/>
  <c r="AP28" i="6" s="1"/>
  <c r="AQ6" i="6"/>
  <c r="AS6" i="6"/>
  <c r="AT6" i="6"/>
  <c r="AU6" i="6"/>
  <c r="BF6" i="6"/>
  <c r="BK6" i="6"/>
  <c r="BK7" i="6" s="1"/>
  <c r="BK8" i="6" s="1"/>
  <c r="BK9" i="6" s="1"/>
  <c r="BK10" i="6" s="1"/>
  <c r="BK11" i="6" s="1"/>
  <c r="BK12" i="6" s="1"/>
  <c r="BK13" i="6" s="1"/>
  <c r="BK14" i="6" s="1"/>
  <c r="BK15" i="6" s="1"/>
  <c r="BK16" i="6" s="1"/>
  <c r="BK17" i="6" s="1"/>
  <c r="BK18" i="6" s="1"/>
  <c r="BK19" i="6" s="1"/>
  <c r="BK20" i="6" s="1"/>
  <c r="BK21" i="6" s="1"/>
  <c r="BK22" i="6" s="1"/>
  <c r="BK23" i="6" s="1"/>
  <c r="BK24" i="6" s="1"/>
  <c r="BK25" i="6" s="1"/>
  <c r="BK26" i="6" s="1"/>
  <c r="BK27" i="6" s="1"/>
  <c r="BK28" i="6" s="1"/>
  <c r="BL6" i="6"/>
  <c r="BP6" i="6"/>
  <c r="BW6" i="6"/>
  <c r="BW7" i="6" s="1"/>
  <c r="BW8" i="6" s="1"/>
  <c r="CH6" i="6"/>
  <c r="CH7" i="6" s="1"/>
  <c r="CH8" i="6" s="1"/>
  <c r="CH9" i="6" s="1"/>
  <c r="CH10" i="6" s="1"/>
  <c r="CH11" i="6" s="1"/>
  <c r="CH12" i="6" s="1"/>
  <c r="CH13" i="6" s="1"/>
  <c r="CH14" i="6" s="1"/>
  <c r="CH15" i="6" s="1"/>
  <c r="CH16" i="6" s="1"/>
  <c r="CH17" i="6" s="1"/>
  <c r="CH18" i="6" s="1"/>
  <c r="CH19" i="6" s="1"/>
  <c r="CH20" i="6" s="1"/>
  <c r="CH21" i="6" s="1"/>
  <c r="CH22" i="6" s="1"/>
  <c r="CH23" i="6" s="1"/>
  <c r="CH24" i="6" s="1"/>
  <c r="CH25" i="6" s="1"/>
  <c r="CH26" i="6" s="1"/>
  <c r="CH27" i="6" s="1"/>
  <c r="CH28" i="6" s="1"/>
  <c r="CI6" i="6"/>
  <c r="CK6" i="6"/>
  <c r="CZ6" i="6"/>
  <c r="DA6" i="6"/>
  <c r="DB6" i="6"/>
  <c r="DG6" i="6"/>
  <c r="DG7" i="6" s="1"/>
  <c r="DG8" i="6" s="1"/>
  <c r="DG9" i="6" s="1"/>
  <c r="DG10" i="6" s="1"/>
  <c r="DG11" i="6" s="1"/>
  <c r="DG12" i="6" s="1"/>
  <c r="DG13" i="6" s="1"/>
  <c r="DG14" i="6" s="1"/>
  <c r="DG15" i="6" s="1"/>
  <c r="DG16" i="6" s="1"/>
  <c r="DG17" i="6" s="1"/>
  <c r="DG18" i="6" s="1"/>
  <c r="DG19" i="6" s="1"/>
  <c r="DG20" i="6" s="1"/>
  <c r="DG21" i="6" s="1"/>
  <c r="DG22" i="6" s="1"/>
  <c r="DG23" i="6" s="1"/>
  <c r="DG24" i="6" s="1"/>
  <c r="DG25" i="6" s="1"/>
  <c r="DG26" i="6" s="1"/>
  <c r="DG27" i="6" s="1"/>
  <c r="DG28" i="6" s="1"/>
  <c r="DH6" i="6"/>
  <c r="DN6" i="6"/>
  <c r="DV6" i="6"/>
  <c r="DV7" i="6" s="1"/>
  <c r="DV8" i="6" s="1"/>
  <c r="DV9" i="6" s="1"/>
  <c r="DV10" i="6" s="1"/>
  <c r="DV11" i="6" s="1"/>
  <c r="DV12" i="6" s="1"/>
  <c r="DV13" i="6" s="1"/>
  <c r="DV14" i="6" s="1"/>
  <c r="DV15" i="6" s="1"/>
  <c r="DV16" i="6" s="1"/>
  <c r="DV17" i="6" s="1"/>
  <c r="DV18" i="6" s="1"/>
  <c r="DV19" i="6" s="1"/>
  <c r="DV20" i="6" s="1"/>
  <c r="DV21" i="6" s="1"/>
  <c r="DV22" i="6" s="1"/>
  <c r="DV23" i="6" s="1"/>
  <c r="DV24" i="6" s="1"/>
  <c r="DV25" i="6" s="1"/>
  <c r="DV26" i="6" s="1"/>
  <c r="DV27" i="6" s="1"/>
  <c r="DV28" i="6" s="1"/>
  <c r="EH6" i="6"/>
  <c r="EM6" i="6"/>
  <c r="EM7" i="6" s="1"/>
  <c r="EM8" i="6" s="1"/>
  <c r="EM9" i="6" s="1"/>
  <c r="EM10" i="6" s="1"/>
  <c r="EM11" i="6" s="1"/>
  <c r="EM12" i="6" s="1"/>
  <c r="EM13" i="6" s="1"/>
  <c r="EM14" i="6" s="1"/>
  <c r="EM15" i="6" s="1"/>
  <c r="EM16" i="6" s="1"/>
  <c r="EM17" i="6" s="1"/>
  <c r="EM18" i="6" s="1"/>
  <c r="EM19" i="6" s="1"/>
  <c r="EM20" i="6" s="1"/>
  <c r="EM21" i="6" s="1"/>
  <c r="EM22" i="6" s="1"/>
  <c r="EM23" i="6" s="1"/>
  <c r="EM24" i="6" s="1"/>
  <c r="EM25" i="6" s="1"/>
  <c r="EM26" i="6" s="1"/>
  <c r="EM27" i="6" s="1"/>
  <c r="EM28" i="6" s="1"/>
  <c r="EN6" i="6"/>
  <c r="ET6" i="6"/>
  <c r="FH6" i="6"/>
  <c r="FH7" i="6" s="1"/>
  <c r="FH8" i="6" s="1"/>
  <c r="FH9" i="6" s="1"/>
  <c r="FH10" i="6" s="1"/>
  <c r="FH11" i="6" s="1"/>
  <c r="FH12" i="6" s="1"/>
  <c r="FH13" i="6" s="1"/>
  <c r="FH14" i="6" s="1"/>
  <c r="FH15" i="6" s="1"/>
  <c r="FH16" i="6" s="1"/>
  <c r="FH17" i="6" s="1"/>
  <c r="FH18" i="6" s="1"/>
  <c r="FH19" i="6" s="1"/>
  <c r="FH20" i="6" s="1"/>
  <c r="FH21" i="6" s="1"/>
  <c r="FH22" i="6" s="1"/>
  <c r="FH23" i="6" s="1"/>
  <c r="FH24" i="6" s="1"/>
  <c r="FH25" i="6" s="1"/>
  <c r="FH26" i="6" s="1"/>
  <c r="FH27" i="6" s="1"/>
  <c r="FH28" i="6" s="1"/>
  <c r="FI6" i="6"/>
  <c r="GF6" i="6"/>
  <c r="GF7" i="6" s="1"/>
  <c r="GF8" i="6" s="1"/>
  <c r="GF9" i="6" s="1"/>
  <c r="GF10" i="6" s="1"/>
  <c r="GF11" i="6" s="1"/>
  <c r="GF12" i="6" s="1"/>
  <c r="GF13" i="6" s="1"/>
  <c r="GF14" i="6" s="1"/>
  <c r="GF15" i="6" s="1"/>
  <c r="GF16" i="6" s="1"/>
  <c r="GF17" i="6" s="1"/>
  <c r="GF18" i="6" s="1"/>
  <c r="GF19" i="6" s="1"/>
  <c r="GF20" i="6" s="1"/>
  <c r="GF21" i="6" s="1"/>
  <c r="GF22" i="6" s="1"/>
  <c r="GF23" i="6" s="1"/>
  <c r="GF24" i="6" s="1"/>
  <c r="GF25" i="6" s="1"/>
  <c r="GF26" i="6" s="1"/>
  <c r="GF27" i="6" s="1"/>
  <c r="GG6" i="6"/>
  <c r="GQ6" i="6"/>
  <c r="GU6" i="6"/>
  <c r="GU7" i="6" s="1"/>
  <c r="GU8" i="6" s="1"/>
  <c r="GU9" i="6" s="1"/>
  <c r="GU10" i="6" s="1"/>
  <c r="GU11" i="6" s="1"/>
  <c r="GU12" i="6" s="1"/>
  <c r="GU13" i="6" s="1"/>
  <c r="GU14" i="6" s="1"/>
  <c r="GU15" i="6" s="1"/>
  <c r="GU16" i="6" s="1"/>
  <c r="GU17" i="6" s="1"/>
  <c r="GU18" i="6" s="1"/>
  <c r="GU19" i="6" s="1"/>
  <c r="GU20" i="6" s="1"/>
  <c r="GU21" i="6" s="1"/>
  <c r="GU22" i="6" s="1"/>
  <c r="GU23" i="6" s="1"/>
  <c r="GU24" i="6" s="1"/>
  <c r="GU25" i="6" s="1"/>
  <c r="GU26" i="6" s="1"/>
  <c r="GU27" i="6" s="1"/>
  <c r="GV6" i="6"/>
  <c r="GZ6" i="6"/>
  <c r="HP6" i="6"/>
  <c r="HP7" i="6" s="1"/>
  <c r="HP8" i="6" s="1"/>
  <c r="HP9" i="6" s="1"/>
  <c r="HP10" i="6" s="1"/>
  <c r="HP11" i="6" s="1"/>
  <c r="HP12" i="6" s="1"/>
  <c r="HP13" i="6" s="1"/>
  <c r="HP14" i="6" s="1"/>
  <c r="HP15" i="6" s="1"/>
  <c r="HP16" i="6" s="1"/>
  <c r="HP17" i="6" s="1"/>
  <c r="HP18" i="6" s="1"/>
  <c r="HP19" i="6" s="1"/>
  <c r="HP20" i="6" s="1"/>
  <c r="HP21" i="6" s="1"/>
  <c r="HP22" i="6" s="1"/>
  <c r="HP23" i="6" s="1"/>
  <c r="HP24" i="6" s="1"/>
  <c r="HP25" i="6" s="1"/>
  <c r="HP26" i="6" s="1"/>
  <c r="HP27" i="6" s="1"/>
  <c r="HQ6" i="6"/>
  <c r="HS6" i="6"/>
  <c r="IS6" i="6"/>
  <c r="JG6" i="6"/>
  <c r="JI6" i="6"/>
  <c r="JV6" i="6"/>
  <c r="J7" i="6"/>
  <c r="O7" i="6"/>
  <c r="V7" i="6"/>
  <c r="AQ7" i="6"/>
  <c r="AS7" i="6"/>
  <c r="AT7" i="6"/>
  <c r="AU7" i="6"/>
  <c r="BL7" i="6"/>
  <c r="CI7" i="6"/>
  <c r="DC7" i="6"/>
  <c r="DH7" i="6"/>
  <c r="EG7" i="6"/>
  <c r="EH7" i="6"/>
  <c r="EN7" i="6"/>
  <c r="FI7" i="6"/>
  <c r="GG7" i="6"/>
  <c r="DW7" i="6" s="1"/>
  <c r="GQ7" i="6"/>
  <c r="GV7" i="6"/>
  <c r="HQ7" i="6"/>
  <c r="HS7" i="6"/>
  <c r="JG7" i="6"/>
  <c r="JI7" i="6"/>
  <c r="JV7" i="6"/>
  <c r="J8" i="6"/>
  <c r="O8" i="6"/>
  <c r="V8" i="6"/>
  <c r="AQ8" i="6"/>
  <c r="AS8" i="6"/>
  <c r="AT8" i="6"/>
  <c r="AU8" i="6"/>
  <c r="AZ8" i="6"/>
  <c r="BL8" i="6"/>
  <c r="BS8" i="6"/>
  <c r="CI8" i="6"/>
  <c r="CQ8" i="6"/>
  <c r="DH8" i="6"/>
  <c r="DR8" i="6"/>
  <c r="EA8" i="6"/>
  <c r="EN8" i="6"/>
  <c r="EX8" i="6"/>
  <c r="FI8" i="6"/>
  <c r="FM8" i="6"/>
  <c r="GB8" i="6"/>
  <c r="GG8" i="6"/>
  <c r="DW8" i="6" s="1"/>
  <c r="GP8" i="6"/>
  <c r="GQ8" i="6"/>
  <c r="GV8" i="6"/>
  <c r="HQ8" i="6"/>
  <c r="HS8" i="6"/>
  <c r="IW8" i="6"/>
  <c r="JG8" i="6"/>
  <c r="JI8" i="6"/>
  <c r="JV8" i="6"/>
  <c r="J9" i="6"/>
  <c r="O9" i="6"/>
  <c r="V9" i="6"/>
  <c r="AQ9" i="6"/>
  <c r="AS9" i="6"/>
  <c r="AT9" i="6"/>
  <c r="AU9" i="6"/>
  <c r="BL9" i="6"/>
  <c r="BY9" i="6"/>
  <c r="CI9" i="6"/>
  <c r="DH9" i="6"/>
  <c r="EN9" i="6"/>
  <c r="FI9" i="6"/>
  <c r="GG9" i="6"/>
  <c r="DW9" i="6" s="1"/>
  <c r="GQ9" i="6"/>
  <c r="GV9" i="6"/>
  <c r="HQ9" i="6"/>
  <c r="HS9" i="6"/>
  <c r="JG9" i="6"/>
  <c r="JI9" i="6"/>
  <c r="JV9" i="6"/>
  <c r="J10" i="6"/>
  <c r="M10" i="6"/>
  <c r="O10" i="6"/>
  <c r="V10" i="6"/>
  <c r="AQ10" i="6"/>
  <c r="AS10" i="6"/>
  <c r="AT10" i="6"/>
  <c r="AU10" i="6"/>
  <c r="BL10" i="6"/>
  <c r="CI10" i="6"/>
  <c r="DH10" i="6"/>
  <c r="EN10" i="6"/>
  <c r="FI10" i="6"/>
  <c r="GG10" i="6"/>
  <c r="DW10" i="6" s="1"/>
  <c r="GQ10" i="6"/>
  <c r="GV10" i="6"/>
  <c r="HQ10" i="6"/>
  <c r="HS10" i="6"/>
  <c r="JG10" i="6"/>
  <c r="JI10" i="6"/>
  <c r="JV10" i="6"/>
  <c r="J11" i="6"/>
  <c r="O11" i="6"/>
  <c r="V11" i="6"/>
  <c r="AQ11" i="6"/>
  <c r="AS11" i="6"/>
  <c r="AT11" i="6"/>
  <c r="AU11" i="6"/>
  <c r="BL11" i="6"/>
  <c r="CI11" i="6"/>
  <c r="DH11" i="6"/>
  <c r="EN11" i="6"/>
  <c r="FI11" i="6"/>
  <c r="GG11" i="6"/>
  <c r="DW11" i="6" s="1"/>
  <c r="GQ11" i="6"/>
  <c r="GV11" i="6"/>
  <c r="HQ11" i="6"/>
  <c r="HS11" i="6"/>
  <c r="JG11" i="6"/>
  <c r="JI11" i="6"/>
  <c r="JV11" i="6"/>
  <c r="J12" i="6"/>
  <c r="M12" i="6"/>
  <c r="O12" i="6"/>
  <c r="V12" i="6"/>
  <c r="AQ12" i="6"/>
  <c r="AS12" i="6"/>
  <c r="AT12" i="6"/>
  <c r="AU12" i="6"/>
  <c r="BL12" i="6"/>
  <c r="CI12" i="6"/>
  <c r="DH12" i="6"/>
  <c r="EN12" i="6"/>
  <c r="FI12" i="6"/>
  <c r="GG12" i="6"/>
  <c r="GQ12" i="6"/>
  <c r="GV12" i="6"/>
  <c r="HQ12" i="6"/>
  <c r="HS12" i="6"/>
  <c r="JG12" i="6"/>
  <c r="JI12" i="6"/>
  <c r="JV12" i="6"/>
  <c r="E13" i="6"/>
  <c r="J13" i="6"/>
  <c r="M13" i="6"/>
  <c r="O13" i="6"/>
  <c r="V13" i="6"/>
  <c r="AQ13" i="6"/>
  <c r="AS13" i="6"/>
  <c r="AU13" i="6" s="1"/>
  <c r="AT13" i="6"/>
  <c r="BL13" i="6"/>
  <c r="CI13" i="6"/>
  <c r="DH13" i="6"/>
  <c r="EN13" i="6"/>
  <c r="FI13" i="6"/>
  <c r="FQ13" i="6"/>
  <c r="GG13" i="6"/>
  <c r="DW13" i="6" s="1"/>
  <c r="GQ13" i="6"/>
  <c r="GV13" i="6"/>
  <c r="HQ13" i="6"/>
  <c r="HS13" i="6"/>
  <c r="JG13" i="6"/>
  <c r="JI13" i="6"/>
  <c r="JV13" i="6"/>
  <c r="J14" i="6"/>
  <c r="O14" i="6"/>
  <c r="V14" i="6"/>
  <c r="AQ14" i="6"/>
  <c r="AS14" i="6"/>
  <c r="AT14" i="6"/>
  <c r="AU14" i="6"/>
  <c r="BL14" i="6"/>
  <c r="CI14" i="6"/>
  <c r="DH14" i="6"/>
  <c r="EN14" i="6"/>
  <c r="FI14" i="6"/>
  <c r="GG14" i="6"/>
  <c r="DW14" i="6" s="1"/>
  <c r="GQ14" i="6"/>
  <c r="GV14" i="6"/>
  <c r="HQ14" i="6"/>
  <c r="HS14" i="6"/>
  <c r="JG14" i="6"/>
  <c r="JI14" i="6"/>
  <c r="JV14" i="6"/>
  <c r="J15" i="6"/>
  <c r="O15" i="6"/>
  <c r="V15" i="6"/>
  <c r="AQ15" i="6"/>
  <c r="AS15" i="6"/>
  <c r="AT15" i="6"/>
  <c r="AU15" i="6"/>
  <c r="BL15" i="6"/>
  <c r="CI15" i="6"/>
  <c r="DH15" i="6"/>
  <c r="EN15" i="6"/>
  <c r="FI15" i="6"/>
  <c r="GG15" i="6"/>
  <c r="DW15" i="6" s="1"/>
  <c r="GQ15" i="6"/>
  <c r="GV15" i="6"/>
  <c r="HQ15" i="6"/>
  <c r="HS15" i="6"/>
  <c r="IW15" i="6"/>
  <c r="JG15" i="6"/>
  <c r="JI15" i="6"/>
  <c r="JV15" i="6"/>
  <c r="J16" i="6"/>
  <c r="M16" i="6"/>
  <c r="O16" i="6"/>
  <c r="V16" i="6"/>
  <c r="AQ16" i="6"/>
  <c r="AS16" i="6"/>
  <c r="AT16" i="6"/>
  <c r="AU16" i="6"/>
  <c r="BL16" i="6"/>
  <c r="CI16" i="6"/>
  <c r="DH16" i="6"/>
  <c r="EN16" i="6"/>
  <c r="FI16" i="6"/>
  <c r="GG16" i="6"/>
  <c r="DW16" i="6" s="1"/>
  <c r="GQ16" i="6"/>
  <c r="GV16" i="6"/>
  <c r="HQ16" i="6"/>
  <c r="HS16" i="6"/>
  <c r="JG16" i="6"/>
  <c r="JI16" i="6"/>
  <c r="JV16" i="6"/>
  <c r="J17" i="6"/>
  <c r="O17" i="6"/>
  <c r="V17" i="6"/>
  <c r="AQ17" i="6"/>
  <c r="AS17" i="6"/>
  <c r="AT17" i="6"/>
  <c r="AU17" i="6"/>
  <c r="BL17" i="6"/>
  <c r="CI17" i="6"/>
  <c r="DH17" i="6"/>
  <c r="EN17" i="6"/>
  <c r="FI17" i="6"/>
  <c r="GG17" i="6"/>
  <c r="DW17" i="6" s="1"/>
  <c r="GQ17" i="6"/>
  <c r="GV17" i="6"/>
  <c r="HQ17" i="6"/>
  <c r="HS17" i="6"/>
  <c r="IW17" i="6"/>
  <c r="JG17" i="6"/>
  <c r="JI17" i="6"/>
  <c r="JV17" i="6"/>
  <c r="J18" i="6"/>
  <c r="O18" i="6"/>
  <c r="V18" i="6"/>
  <c r="AQ18" i="6"/>
  <c r="AS18" i="6"/>
  <c r="AT18" i="6"/>
  <c r="AU18" i="6"/>
  <c r="BL18" i="6"/>
  <c r="CI18" i="6"/>
  <c r="DH18" i="6"/>
  <c r="EN18" i="6"/>
  <c r="FI18" i="6"/>
  <c r="GG18" i="6"/>
  <c r="DW18" i="6" s="1"/>
  <c r="GQ18" i="6"/>
  <c r="GV18" i="6"/>
  <c r="HQ18" i="6"/>
  <c r="HS18" i="6"/>
  <c r="JG18" i="6"/>
  <c r="JI18" i="6"/>
  <c r="JV18" i="6"/>
  <c r="J19" i="6"/>
  <c r="M19" i="6"/>
  <c r="O19" i="6"/>
  <c r="V19" i="6"/>
  <c r="AQ19" i="6"/>
  <c r="AS19" i="6"/>
  <c r="AT19" i="6"/>
  <c r="AU19" i="6"/>
  <c r="BL19" i="6"/>
  <c r="CI19" i="6"/>
  <c r="DH19" i="6"/>
  <c r="EN19" i="6"/>
  <c r="FI19" i="6"/>
  <c r="GG19" i="6"/>
  <c r="DW19" i="6" s="1"/>
  <c r="GQ19" i="6"/>
  <c r="GV19" i="6"/>
  <c r="HQ19" i="6"/>
  <c r="HS19" i="6"/>
  <c r="JG19" i="6"/>
  <c r="JI19" i="6"/>
  <c r="JV19" i="6"/>
  <c r="J20" i="6"/>
  <c r="M20" i="6"/>
  <c r="O20" i="6"/>
  <c r="P20" i="6" s="1"/>
  <c r="V20" i="6"/>
  <c r="AQ20" i="6"/>
  <c r="AS20" i="6"/>
  <c r="AU20" i="6" s="1"/>
  <c r="AT20" i="6"/>
  <c r="BL20" i="6"/>
  <c r="CI20" i="6"/>
  <c r="DH20" i="6"/>
  <c r="EN20" i="6"/>
  <c r="FI20" i="6"/>
  <c r="GG20" i="6"/>
  <c r="DW20" i="6" s="1"/>
  <c r="DY20" i="6" s="1"/>
  <c r="GQ20" i="6"/>
  <c r="GV20" i="6"/>
  <c r="HQ20" i="6"/>
  <c r="HS20" i="6"/>
  <c r="JG20" i="6"/>
  <c r="JI20" i="6"/>
  <c r="JV20" i="6"/>
  <c r="J21" i="6"/>
  <c r="O21" i="6"/>
  <c r="V21" i="6"/>
  <c r="AQ21" i="6"/>
  <c r="AS21" i="6"/>
  <c r="AT21" i="6"/>
  <c r="AU21" i="6"/>
  <c r="BL21" i="6"/>
  <c r="CI21" i="6"/>
  <c r="DH21" i="6"/>
  <c r="EN21" i="6"/>
  <c r="FI21" i="6"/>
  <c r="GG21" i="6"/>
  <c r="DW21" i="6" s="1"/>
  <c r="GQ21" i="6"/>
  <c r="GV21" i="6"/>
  <c r="HQ21" i="6"/>
  <c r="HS21" i="6"/>
  <c r="JG21" i="6"/>
  <c r="JI21" i="6"/>
  <c r="JV21" i="6"/>
  <c r="J22" i="6"/>
  <c r="M22" i="6"/>
  <c r="O22" i="6"/>
  <c r="P22" i="6" s="1"/>
  <c r="V22" i="6"/>
  <c r="AQ22" i="6"/>
  <c r="AS22" i="6" s="1"/>
  <c r="AT22" i="6"/>
  <c r="AU22" i="6" s="1"/>
  <c r="BL22" i="6"/>
  <c r="BP22" i="6"/>
  <c r="CI22" i="6"/>
  <c r="CK22" i="6"/>
  <c r="DH22" i="6"/>
  <c r="DN22" i="6"/>
  <c r="DO22" i="6" s="1"/>
  <c r="EN22" i="6"/>
  <c r="ET22" i="6"/>
  <c r="FI22" i="6"/>
  <c r="GG22" i="6"/>
  <c r="DW22" i="6" s="1"/>
  <c r="GQ22" i="6"/>
  <c r="GV22" i="6"/>
  <c r="HQ22" i="6"/>
  <c r="HS22" i="6"/>
  <c r="JG22" i="6"/>
  <c r="JI22" i="6"/>
  <c r="JV22" i="6"/>
  <c r="J23" i="6"/>
  <c r="M23" i="6"/>
  <c r="O23" i="6"/>
  <c r="V23" i="6"/>
  <c r="AQ23" i="6"/>
  <c r="AS23" i="6"/>
  <c r="AT23" i="6"/>
  <c r="BL23" i="6"/>
  <c r="BP23" i="6"/>
  <c r="BS23" i="6"/>
  <c r="CI23" i="6"/>
  <c r="CK23" i="6"/>
  <c r="CQ23" i="6"/>
  <c r="DH23" i="6"/>
  <c r="DN23" i="6"/>
  <c r="DO23" i="6" s="1"/>
  <c r="DR23" i="6"/>
  <c r="DW23" i="6"/>
  <c r="EA23" i="6"/>
  <c r="EN23" i="6"/>
  <c r="ET23" i="6"/>
  <c r="EX23" i="6"/>
  <c r="FI23" i="6"/>
  <c r="FM23" i="6"/>
  <c r="GG23" i="6"/>
  <c r="GQ23" i="6"/>
  <c r="GV23" i="6"/>
  <c r="HQ23" i="6"/>
  <c r="HS23" i="6"/>
  <c r="IW23" i="6"/>
  <c r="JG23" i="6"/>
  <c r="JI23" i="6"/>
  <c r="JV23" i="6"/>
  <c r="J24" i="6"/>
  <c r="O24" i="6"/>
  <c r="V24" i="6"/>
  <c r="AQ24" i="6"/>
  <c r="AS24" i="6"/>
  <c r="AT24" i="6"/>
  <c r="AU24" i="6"/>
  <c r="AZ24" i="6"/>
  <c r="BL24" i="6"/>
  <c r="BS24" i="6"/>
  <c r="CI24" i="6"/>
  <c r="CQ24" i="6"/>
  <c r="DH24" i="6"/>
  <c r="DR24" i="6"/>
  <c r="EA24" i="6"/>
  <c r="EN24" i="6"/>
  <c r="EX24" i="6"/>
  <c r="FI24" i="6"/>
  <c r="FM24" i="6"/>
  <c r="GB24" i="6"/>
  <c r="GG24" i="6"/>
  <c r="DW24" i="6" s="1"/>
  <c r="GP24" i="6"/>
  <c r="GQ24" i="6"/>
  <c r="GV24" i="6"/>
  <c r="HQ24" i="6"/>
  <c r="HS24" i="6"/>
  <c r="IW24" i="6"/>
  <c r="JG24" i="6"/>
  <c r="JI24" i="6"/>
  <c r="JV24" i="6"/>
  <c r="J25" i="6"/>
  <c r="M25" i="6"/>
  <c r="O25" i="6"/>
  <c r="V25" i="6"/>
  <c r="AQ25" i="6"/>
  <c r="AS25" i="6"/>
  <c r="AT25" i="6"/>
  <c r="AU25" i="6"/>
  <c r="BL25" i="6"/>
  <c r="CI25" i="6"/>
  <c r="DH25" i="6"/>
  <c r="EN25" i="6"/>
  <c r="ET25" i="6"/>
  <c r="FI25" i="6"/>
  <c r="GG25" i="6"/>
  <c r="DW25" i="6" s="1"/>
  <c r="GQ25" i="6"/>
  <c r="GV25" i="6"/>
  <c r="GZ25" i="6"/>
  <c r="HQ25" i="6"/>
  <c r="HS25" i="6"/>
  <c r="IS25" i="6"/>
  <c r="JG25" i="6"/>
  <c r="JI25" i="6"/>
  <c r="JV25" i="6"/>
  <c r="JW25" i="6"/>
  <c r="J26" i="6"/>
  <c r="M26" i="6"/>
  <c r="O26" i="6"/>
  <c r="P26" i="6" s="1"/>
  <c r="DL26" i="6" s="1"/>
  <c r="DM26" i="6" s="1"/>
  <c r="V26" i="6"/>
  <c r="AQ26" i="6"/>
  <c r="AS26" i="6" s="1"/>
  <c r="AU26" i="6" s="1"/>
  <c r="AT26" i="6"/>
  <c r="BL26" i="6"/>
  <c r="BP26" i="6"/>
  <c r="CI26" i="6"/>
  <c r="DH26" i="6"/>
  <c r="DN26" i="6"/>
  <c r="DO26" i="6" s="1"/>
  <c r="EN26" i="6"/>
  <c r="ET26" i="6"/>
  <c r="FI26" i="6"/>
  <c r="GG26" i="6"/>
  <c r="DW26" i="6" s="1"/>
  <c r="GQ26" i="6"/>
  <c r="GV26" i="6"/>
  <c r="GZ26" i="6"/>
  <c r="HQ26" i="6"/>
  <c r="HS26" i="6"/>
  <c r="IS26" i="6"/>
  <c r="JG26" i="6"/>
  <c r="JI26" i="6"/>
  <c r="JV26" i="6"/>
  <c r="J27" i="6"/>
  <c r="M27" i="6"/>
  <c r="O27" i="6"/>
  <c r="P27" i="6" s="1"/>
  <c r="V27" i="6"/>
  <c r="AQ27" i="6"/>
  <c r="AS27" i="6"/>
  <c r="AT27" i="6"/>
  <c r="AU27" i="6"/>
  <c r="AZ27" i="6"/>
  <c r="BL27" i="6"/>
  <c r="BS27" i="6"/>
  <c r="CI27" i="6"/>
  <c r="CQ27" i="6"/>
  <c r="DH27" i="6"/>
  <c r="DR27" i="6"/>
  <c r="EA27" i="6"/>
  <c r="EN27" i="6"/>
  <c r="EX27" i="6"/>
  <c r="FI27" i="6"/>
  <c r="FM27" i="6"/>
  <c r="GB27" i="6"/>
  <c r="GG27" i="6"/>
  <c r="DW27" i="6" s="1"/>
  <c r="DY27" i="6" s="1"/>
  <c r="GP27" i="6"/>
  <c r="GQ27" i="6"/>
  <c r="GV27" i="6"/>
  <c r="HQ27" i="6"/>
  <c r="HS27" i="6"/>
  <c r="IW27" i="6"/>
  <c r="JG27" i="6"/>
  <c r="JI27" i="6"/>
  <c r="JV27" i="6"/>
  <c r="L28" i="6"/>
  <c r="N28" i="6"/>
  <c r="Y31" i="6"/>
  <c r="AS31" i="6"/>
  <c r="AT31" i="6"/>
  <c r="AU31" i="6"/>
  <c r="AV31" i="6"/>
  <c r="AW31" i="6"/>
  <c r="AX31" i="6"/>
  <c r="AZ31" i="6"/>
  <c r="FL31" i="6"/>
  <c r="FM31" i="6"/>
  <c r="HA31" i="6"/>
  <c r="HA8" i="6" s="1"/>
  <c r="GJ32" i="6"/>
  <c r="GK32" i="6"/>
  <c r="GL32" i="6"/>
  <c r="GM32" i="6"/>
  <c r="GN32" i="6"/>
  <c r="GO32" i="6"/>
  <c r="GP32" i="6"/>
  <c r="GQ32" i="6"/>
  <c r="FU34" i="6"/>
  <c r="FV34" i="6"/>
  <c r="FW34" i="6"/>
  <c r="FX34" i="6"/>
  <c r="FZ34" i="6"/>
  <c r="GA34" i="6"/>
  <c r="GB34" i="6"/>
  <c r="GY35" i="6"/>
  <c r="GZ35" i="6"/>
  <c r="HA35" i="6"/>
  <c r="HB35" i="6"/>
  <c r="HC35" i="6"/>
  <c r="CP3" i="5"/>
  <c r="CT3" i="5"/>
  <c r="DC3" i="5"/>
  <c r="DE3" i="5"/>
  <c r="DM3" i="5"/>
  <c r="DO3" i="5"/>
  <c r="DV3" i="5"/>
  <c r="DZ3" i="5"/>
  <c r="EI3" i="5"/>
  <c r="EM3" i="5"/>
  <c r="EV3" i="5"/>
  <c r="EZ3" i="5"/>
  <c r="FM3" i="5"/>
  <c r="FQ3" i="5"/>
  <c r="GA3" i="5"/>
  <c r="GE3" i="5"/>
  <c r="GN3" i="5"/>
  <c r="GR3" i="5"/>
  <c r="AH4" i="5"/>
  <c r="AI4" i="5"/>
  <c r="AJ4" i="5"/>
  <c r="FQ4" i="5"/>
  <c r="FS4" i="5"/>
  <c r="HP4" i="5"/>
  <c r="IH4" i="5"/>
  <c r="IJ4" i="5"/>
  <c r="IL4" i="5"/>
  <c r="IN4" i="5"/>
  <c r="IP4" i="5"/>
  <c r="IR4" i="5"/>
  <c r="IT4" i="5"/>
  <c r="HS4" i="5" s="1"/>
  <c r="HU4" i="5" s="1"/>
  <c r="HW4" i="5" s="1"/>
  <c r="IV4" i="5"/>
  <c r="JS4" i="5"/>
  <c r="JT4" i="5"/>
  <c r="JY4" i="5"/>
  <c r="KO4" i="5"/>
  <c r="KQ4" i="5"/>
  <c r="KS4" i="5"/>
  <c r="KU4" i="5"/>
  <c r="KW4" i="5"/>
  <c r="KY4" i="5"/>
  <c r="JX4" i="5" s="1"/>
  <c r="JZ4" i="5" s="1"/>
  <c r="LA4" i="5"/>
  <c r="JR5" i="5"/>
  <c r="CS6" i="5"/>
  <c r="CW6" i="5"/>
  <c r="DY6" i="5"/>
  <c r="EL6" i="5"/>
  <c r="EP6" i="5"/>
  <c r="EY6" i="5"/>
  <c r="FC6" i="5"/>
  <c r="GD6" i="5"/>
  <c r="GH6" i="5"/>
  <c r="GQ6" i="5"/>
  <c r="F24" i="5" s="1"/>
  <c r="GU6" i="5"/>
  <c r="H24" i="5" s="1"/>
  <c r="HF6" i="5"/>
  <c r="HG6" i="5"/>
  <c r="HP6" i="5"/>
  <c r="HR6" i="5"/>
  <c r="HY6" i="5"/>
  <c r="HZ6" i="5"/>
  <c r="IF6" i="5"/>
  <c r="IG6" i="5"/>
  <c r="II6" i="5"/>
  <c r="IK6" i="5"/>
  <c r="IM6" i="5"/>
  <c r="IQ6" i="5"/>
  <c r="IS6" i="5"/>
  <c r="IU6" i="5"/>
  <c r="IW6" i="5"/>
  <c r="IX6" i="5"/>
  <c r="IY6" i="5"/>
  <c r="IZ6" i="5"/>
  <c r="JF6" i="5"/>
  <c r="JH6" i="5"/>
  <c r="JJ6" i="5"/>
  <c r="JS6" i="5"/>
  <c r="JU6" i="5"/>
  <c r="JW6" i="5"/>
  <c r="JY6" i="5"/>
  <c r="KA6" i="5"/>
  <c r="KC6" i="5"/>
  <c r="LI6" i="5"/>
  <c r="LJ6" i="5"/>
  <c r="LL6" i="5"/>
  <c r="LM6" i="5"/>
  <c r="LO6" i="5"/>
  <c r="LP6" i="5"/>
  <c r="B7" i="5"/>
  <c r="V7" i="5"/>
  <c r="AA7" i="5"/>
  <c r="AX7" i="5"/>
  <c r="BB7" i="5"/>
  <c r="BF7" i="5"/>
  <c r="BJ7" i="5"/>
  <c r="BN7" i="5"/>
  <c r="BR7" i="5"/>
  <c r="BV7" i="5"/>
  <c r="BY7" i="5"/>
  <c r="CB7" i="5"/>
  <c r="CE7" i="5"/>
  <c r="CS7" i="5"/>
  <c r="CW7" i="5"/>
  <c r="EL7" i="5"/>
  <c r="EP7" i="5"/>
  <c r="EY7" i="5"/>
  <c r="FC7" i="5"/>
  <c r="FP7" i="5"/>
  <c r="GD7" i="5"/>
  <c r="GQ7" i="5"/>
  <c r="F7" i="5" s="1"/>
  <c r="GU7" i="5"/>
  <c r="H7" i="5" s="1"/>
  <c r="HF7" i="5"/>
  <c r="HG7" i="5"/>
  <c r="HP7" i="5"/>
  <c r="HR7" i="5"/>
  <c r="HY7" i="5"/>
  <c r="HZ7" i="5"/>
  <c r="IF7" i="5"/>
  <c r="IG7" i="5"/>
  <c r="II7" i="5"/>
  <c r="IK7" i="5"/>
  <c r="IM7" i="5"/>
  <c r="IQ7" i="5"/>
  <c r="IS7" i="5"/>
  <c r="IU7" i="5"/>
  <c r="IW7" i="5"/>
  <c r="IX7" i="5"/>
  <c r="IY7" i="5"/>
  <c r="IZ7" i="5"/>
  <c r="JF7" i="5"/>
  <c r="JG7" i="5"/>
  <c r="JH7" i="5"/>
  <c r="JJ7" i="5"/>
  <c r="JS7" i="5"/>
  <c r="JU7" i="5"/>
  <c r="JW7" i="5"/>
  <c r="JY7" i="5"/>
  <c r="KA7" i="5"/>
  <c r="KC7" i="5"/>
  <c r="KH7" i="5"/>
  <c r="KJ7" i="5"/>
  <c r="KQ7" i="5"/>
  <c r="KS7" i="5"/>
  <c r="LB7" i="5"/>
  <c r="LI7" i="5"/>
  <c r="LJ7" i="5"/>
  <c r="LL7" i="5"/>
  <c r="LM7" i="5"/>
  <c r="LO7" i="5"/>
  <c r="LP7" i="5"/>
  <c r="LU7" i="5"/>
  <c r="ML7" i="5"/>
  <c r="B8" i="5"/>
  <c r="V8" i="5"/>
  <c r="AF8" i="5"/>
  <c r="AX8" i="5"/>
  <c r="BB8" i="5"/>
  <c r="BF8" i="5"/>
  <c r="BJ8" i="5"/>
  <c r="BN8" i="5"/>
  <c r="BR8" i="5"/>
  <c r="BV8" i="5"/>
  <c r="BY8" i="5"/>
  <c r="CB8" i="5"/>
  <c r="CE8" i="5"/>
  <c r="CS8" i="5"/>
  <c r="CW8" i="5"/>
  <c r="EL8" i="5"/>
  <c r="EP8" i="5"/>
  <c r="EY8" i="5"/>
  <c r="FC8" i="5"/>
  <c r="FJ8" i="5"/>
  <c r="FP8" i="5"/>
  <c r="GD8" i="5"/>
  <c r="GH8" i="5"/>
  <c r="GQ8" i="5"/>
  <c r="F8" i="5" s="1"/>
  <c r="GU8" i="5"/>
  <c r="H8" i="5" s="1"/>
  <c r="HF8" i="5"/>
  <c r="HG8" i="5"/>
  <c r="HP8" i="5"/>
  <c r="HR8" i="5"/>
  <c r="HY8" i="5"/>
  <c r="HZ8" i="5"/>
  <c r="IF8" i="5"/>
  <c r="IG8" i="5"/>
  <c r="II8" i="5"/>
  <c r="IK8" i="5"/>
  <c r="IM8" i="5"/>
  <c r="IQ8" i="5"/>
  <c r="IS8" i="5"/>
  <c r="IU8" i="5"/>
  <c r="IW8" i="5"/>
  <c r="IX8" i="5"/>
  <c r="IY8" i="5"/>
  <c r="IZ8" i="5"/>
  <c r="JF8" i="5"/>
  <c r="JH8" i="5"/>
  <c r="JJ8" i="5"/>
  <c r="JS8" i="5"/>
  <c r="JU8" i="5"/>
  <c r="JW8" i="5"/>
  <c r="JY8" i="5"/>
  <c r="KA8" i="5"/>
  <c r="KC8" i="5"/>
  <c r="KH8" i="5"/>
  <c r="KJ8" i="5"/>
  <c r="KQ8" i="5"/>
  <c r="KS8" i="5"/>
  <c r="LB8" i="5"/>
  <c r="LI8" i="5"/>
  <c r="LJ8" i="5"/>
  <c r="LL8" i="5"/>
  <c r="LM8" i="5"/>
  <c r="LO8" i="5"/>
  <c r="LP8" i="5"/>
  <c r="LU8" i="5"/>
  <c r="MA8" i="5"/>
  <c r="MK8" i="5"/>
  <c r="ML8" i="5"/>
  <c r="B9" i="5"/>
  <c r="AF9" i="5"/>
  <c r="AX9" i="5"/>
  <c r="BB9" i="5"/>
  <c r="BF9" i="5"/>
  <c r="BJ9" i="5"/>
  <c r="BN9" i="5"/>
  <c r="BR9" i="5"/>
  <c r="BV9" i="5"/>
  <c r="BY9" i="5"/>
  <c r="CB9" i="5"/>
  <c r="CE9" i="5"/>
  <c r="CP9" i="5"/>
  <c r="AH7" i="5" s="1"/>
  <c r="AH8" i="5" s="1"/>
  <c r="CQ9" i="5"/>
  <c r="CR9" i="5"/>
  <c r="CS9" i="5"/>
  <c r="CT9" i="5"/>
  <c r="AH11" i="5" s="1"/>
  <c r="CU9" i="5"/>
  <c r="CV9" i="5"/>
  <c r="CW9" i="5"/>
  <c r="DC9" i="5"/>
  <c r="AI7" i="5" s="1"/>
  <c r="AI8" i="5" s="1"/>
  <c r="DD9" i="5"/>
  <c r="F15" i="5" s="1"/>
  <c r="DE9" i="5"/>
  <c r="AI11" i="5" s="1"/>
  <c r="DF9" i="5"/>
  <c r="DG9" i="5"/>
  <c r="H15" i="5" s="1"/>
  <c r="DM9" i="5"/>
  <c r="AJ7" i="5" s="1"/>
  <c r="AJ8" i="5" s="1"/>
  <c r="DN9" i="5"/>
  <c r="F16" i="5" s="1"/>
  <c r="DO9" i="5"/>
  <c r="AJ11" i="5" s="1"/>
  <c r="DP9" i="5"/>
  <c r="H16" i="5" s="1"/>
  <c r="EI9" i="5"/>
  <c r="EJ9" i="5"/>
  <c r="EK9" i="5"/>
  <c r="EL9" i="5"/>
  <c r="EM9" i="5"/>
  <c r="EN9" i="5"/>
  <c r="EO9" i="5"/>
  <c r="EP9" i="5"/>
  <c r="EV9" i="5"/>
  <c r="EW9" i="5"/>
  <c r="EX9" i="5"/>
  <c r="EY9" i="5"/>
  <c r="F19" i="5" s="1"/>
  <c r="EZ9" i="5"/>
  <c r="FA9" i="5"/>
  <c r="FB9" i="5"/>
  <c r="FC9" i="5"/>
  <c r="FF9" i="5"/>
  <c r="H19" i="5" s="1"/>
  <c r="FJ9" i="5"/>
  <c r="FP9" i="5"/>
  <c r="GD9" i="5"/>
  <c r="GH9" i="5"/>
  <c r="GN9" i="5"/>
  <c r="GO9" i="5"/>
  <c r="GP9" i="5"/>
  <c r="GQ9" i="5"/>
  <c r="GR9" i="5"/>
  <c r="GS9" i="5"/>
  <c r="GU9" i="5" s="1"/>
  <c r="GT9" i="5"/>
  <c r="HF9" i="5"/>
  <c r="HG9" i="5"/>
  <c r="HP9" i="5" s="1"/>
  <c r="HR9" i="5" s="1"/>
  <c r="HY9" i="5"/>
  <c r="IF9" i="5"/>
  <c r="IG9" i="5"/>
  <c r="II9" i="5"/>
  <c r="IK9" i="5"/>
  <c r="IM9" i="5"/>
  <c r="IQ9" i="5"/>
  <c r="IS9" i="5"/>
  <c r="IU9" i="5"/>
  <c r="IW9" i="5"/>
  <c r="IX9" i="5"/>
  <c r="JF9" i="5"/>
  <c r="JG9" i="5"/>
  <c r="JJ9" i="5" s="1"/>
  <c r="KJ10" i="5" s="1"/>
  <c r="JH9" i="5"/>
  <c r="JS9" i="5"/>
  <c r="JW9" i="5"/>
  <c r="JY9" i="5"/>
  <c r="KA9" i="5"/>
  <c r="KH9" i="5"/>
  <c r="KJ9" i="5"/>
  <c r="KQ9" i="5"/>
  <c r="KS9" i="5"/>
  <c r="LB9" i="5"/>
  <c r="LI9" i="5"/>
  <c r="LL9" i="5"/>
  <c r="LO9" i="5"/>
  <c r="LU9" i="5"/>
  <c r="LU10" i="5" s="1"/>
  <c r="LU11" i="5" s="1"/>
  <c r="LU12" i="5" s="1"/>
  <c r="LU13" i="5" s="1"/>
  <c r="MA9" i="5"/>
  <c r="MA10" i="5" s="1"/>
  <c r="MA11" i="5" s="1"/>
  <c r="MA12" i="5" s="1"/>
  <c r="MA13" i="5" s="1"/>
  <c r="MA14" i="5" s="1"/>
  <c r="MA15" i="5" s="1"/>
  <c r="MA16" i="5" s="1"/>
  <c r="MA17" i="5" s="1"/>
  <c r="MA18" i="5" s="1"/>
  <c r="MA19" i="5" s="1"/>
  <c r="MA20" i="5" s="1"/>
  <c r="MA21" i="5" s="1"/>
  <c r="MA22" i="5" s="1"/>
  <c r="MA23" i="5" s="1"/>
  <c r="MA24" i="5" s="1"/>
  <c r="MA25" i="5" s="1"/>
  <c r="MA26" i="5" s="1"/>
  <c r="MA27" i="5" s="1"/>
  <c r="MA28" i="5" s="1"/>
  <c r="MA29" i="5" s="1"/>
  <c r="MA30" i="5" s="1"/>
  <c r="MA31" i="5" s="1"/>
  <c r="MA32" i="5" s="1"/>
  <c r="MA34" i="5" s="1"/>
  <c r="MA35" i="5" s="1"/>
  <c r="MK9" i="5"/>
  <c r="MK10" i="5" s="1"/>
  <c r="MK11" i="5" s="1"/>
  <c r="MK12" i="5" s="1"/>
  <c r="MK13" i="5" s="1"/>
  <c r="MK14" i="5" s="1"/>
  <c r="MK15" i="5" s="1"/>
  <c r="MK16" i="5" s="1"/>
  <c r="MK17" i="5" s="1"/>
  <c r="MK18" i="5" s="1"/>
  <c r="MK19" i="5" s="1"/>
  <c r="MK20" i="5" s="1"/>
  <c r="MK21" i="5" s="1"/>
  <c r="MK22" i="5" s="1"/>
  <c r="MK23" i="5" s="1"/>
  <c r="MK24" i="5" s="1"/>
  <c r="MK25" i="5" s="1"/>
  <c r="MK26" i="5" s="1"/>
  <c r="MK27" i="5" s="1"/>
  <c r="MK28" i="5" s="1"/>
  <c r="MK29" i="5" s="1"/>
  <c r="MK30" i="5" s="1"/>
  <c r="MK31" i="5" s="1"/>
  <c r="MK32" i="5" s="1"/>
  <c r="MK34" i="5" s="1"/>
  <c r="MK35" i="5" s="1"/>
  <c r="ML9" i="5"/>
  <c r="B10" i="5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4" i="5" s="1"/>
  <c r="B25" i="5" s="1"/>
  <c r="V10" i="5"/>
  <c r="V11" i="5" s="1"/>
  <c r="V12" i="5" s="1"/>
  <c r="V14" i="5" s="1"/>
  <c r="V15" i="5" s="1"/>
  <c r="V16" i="5" s="1"/>
  <c r="V18" i="5" s="1"/>
  <c r="V19" i="5" s="1"/>
  <c r="V20" i="5" s="1"/>
  <c r="AA10" i="5"/>
  <c r="AF10" i="5"/>
  <c r="AF11" i="5" s="1"/>
  <c r="AF12" i="5" s="1"/>
  <c r="AF13" i="5" s="1"/>
  <c r="AF14" i="5" s="1"/>
  <c r="AF15" i="5" s="1"/>
  <c r="AF16" i="5" s="1"/>
  <c r="AF17" i="5" s="1"/>
  <c r="AF18" i="5" s="1"/>
  <c r="AF19" i="5" s="1"/>
  <c r="AF20" i="5" s="1"/>
  <c r="AF21" i="5" s="1"/>
  <c r="AX10" i="5"/>
  <c r="BB10" i="5"/>
  <c r="BF10" i="5"/>
  <c r="BJ10" i="5"/>
  <c r="BN10" i="5"/>
  <c r="BR10" i="5"/>
  <c r="BV10" i="5"/>
  <c r="BY10" i="5"/>
  <c r="CB10" i="5"/>
  <c r="CE10" i="5"/>
  <c r="FJ10" i="5"/>
  <c r="FJ11" i="5" s="1"/>
  <c r="FJ12" i="5" s="1"/>
  <c r="FJ13" i="5" s="1"/>
  <c r="FJ14" i="5" s="1"/>
  <c r="FJ15" i="5" s="1"/>
  <c r="FJ16" i="5" s="1"/>
  <c r="FJ17" i="5" s="1"/>
  <c r="FJ18" i="5" s="1"/>
  <c r="FJ19" i="5" s="1"/>
  <c r="FJ20" i="5" s="1"/>
  <c r="FJ21" i="5" s="1"/>
  <c r="FJ22" i="5" s="1"/>
  <c r="FJ23" i="5" s="1"/>
  <c r="FJ24" i="5" s="1"/>
  <c r="FJ25" i="5" s="1"/>
  <c r="FJ26" i="5" s="1"/>
  <c r="FJ27" i="5" s="1"/>
  <c r="FJ28" i="5" s="1"/>
  <c r="FJ29" i="5" s="1"/>
  <c r="FJ30" i="5" s="1"/>
  <c r="FJ31" i="5" s="1"/>
  <c r="FJ32" i="5" s="1"/>
  <c r="FJ33" i="5" s="1"/>
  <c r="FJ34" i="5" s="1"/>
  <c r="FJ35" i="5" s="1"/>
  <c r="FJ36" i="5" s="1"/>
  <c r="FP10" i="5"/>
  <c r="GD10" i="5"/>
  <c r="GD12" i="5" s="1"/>
  <c r="F10" i="5" s="1"/>
  <c r="GH10" i="5"/>
  <c r="GH12" i="5" s="1"/>
  <c r="H10" i="5" s="1"/>
  <c r="HF10" i="5"/>
  <c r="HG10" i="5"/>
  <c r="HP10" i="5" s="1"/>
  <c r="HR10" i="5" s="1"/>
  <c r="HY10" i="5"/>
  <c r="LI10" i="5" s="1"/>
  <c r="IF10" i="5"/>
  <c r="IG10" i="5"/>
  <c r="II10" i="5" s="1"/>
  <c r="IK10" i="5"/>
  <c r="IM10" i="5"/>
  <c r="IQ10" i="5"/>
  <c r="IS10" i="5"/>
  <c r="IU10" i="5"/>
  <c r="IW10" i="5"/>
  <c r="IX10" i="5"/>
  <c r="LL10" i="5" s="1"/>
  <c r="JF10" i="5"/>
  <c r="JG10" i="5" s="1"/>
  <c r="JH10" i="5"/>
  <c r="JS10" i="5"/>
  <c r="JW10" i="5"/>
  <c r="JY10" i="5"/>
  <c r="KA10" i="5"/>
  <c r="KH10" i="5"/>
  <c r="KH11" i="5" s="1"/>
  <c r="KH12" i="5" s="1"/>
  <c r="KH13" i="5" s="1"/>
  <c r="KH14" i="5" s="1"/>
  <c r="KH15" i="5" s="1"/>
  <c r="KH16" i="5" s="1"/>
  <c r="KH17" i="5" s="1"/>
  <c r="KH18" i="5" s="1"/>
  <c r="KH19" i="5" s="1"/>
  <c r="KH20" i="5" s="1"/>
  <c r="KH21" i="5" s="1"/>
  <c r="KH22" i="5" s="1"/>
  <c r="KH23" i="5" s="1"/>
  <c r="KH24" i="5" s="1"/>
  <c r="KH25" i="5" s="1"/>
  <c r="KH26" i="5" s="1"/>
  <c r="KH27" i="5" s="1"/>
  <c r="KH28" i="5" s="1"/>
  <c r="ML10" i="5"/>
  <c r="J11" i="5"/>
  <c r="M11" i="5"/>
  <c r="AX11" i="5"/>
  <c r="BB11" i="5"/>
  <c r="BF11" i="5"/>
  <c r="BJ11" i="5"/>
  <c r="BN11" i="5"/>
  <c r="BR11" i="5"/>
  <c r="BV11" i="5"/>
  <c r="BY11" i="5"/>
  <c r="CB11" i="5"/>
  <c r="CE11" i="5"/>
  <c r="FP11" i="5"/>
  <c r="GD11" i="5"/>
  <c r="GH11" i="5"/>
  <c r="HF11" i="5"/>
  <c r="HG11" i="5"/>
  <c r="HP11" i="5"/>
  <c r="HR11" i="5"/>
  <c r="HY11" i="5"/>
  <c r="HZ11" i="5"/>
  <c r="IF11" i="5"/>
  <c r="IG11" i="5"/>
  <c r="II11" i="5"/>
  <c r="IK11" i="5"/>
  <c r="IM11" i="5"/>
  <c r="IQ11" i="5"/>
  <c r="IS11" i="5"/>
  <c r="IU11" i="5"/>
  <c r="IW11" i="5"/>
  <c r="IX11" i="5"/>
  <c r="IY11" i="5"/>
  <c r="IZ11" i="5"/>
  <c r="JF11" i="5"/>
  <c r="JG11" i="5"/>
  <c r="JH11" i="5"/>
  <c r="JJ11" i="5"/>
  <c r="JS11" i="5"/>
  <c r="JU11" i="5"/>
  <c r="JW11" i="5"/>
  <c r="JY11" i="5"/>
  <c r="KA11" i="5"/>
  <c r="KC11" i="5"/>
  <c r="LI11" i="5"/>
  <c r="LJ11" i="5"/>
  <c r="LL11" i="5"/>
  <c r="LM11" i="5"/>
  <c r="LO11" i="5"/>
  <c r="LP11" i="5"/>
  <c r="MC11" i="5"/>
  <c r="N11" i="5" s="1"/>
  <c r="MF11" i="5"/>
  <c r="ML11" i="5"/>
  <c r="MN11" i="5"/>
  <c r="MO11" i="5"/>
  <c r="MP11" i="5"/>
  <c r="X12" i="5"/>
  <c r="Y12" i="5"/>
  <c r="Z12" i="5"/>
  <c r="DV12" i="5"/>
  <c r="DW12" i="5"/>
  <c r="DX12" i="5"/>
  <c r="DY12" i="5"/>
  <c r="DZ12" i="5"/>
  <c r="EA12" i="5"/>
  <c r="EB12" i="5"/>
  <c r="EC12" i="5"/>
  <c r="FP12" i="5"/>
  <c r="GA12" i="5"/>
  <c r="GB12" i="5"/>
  <c r="GC12" i="5"/>
  <c r="GE12" i="5"/>
  <c r="GF12" i="5"/>
  <c r="GG12" i="5"/>
  <c r="HF12" i="5"/>
  <c r="HG12" i="5"/>
  <c r="HP12" i="5"/>
  <c r="HR12" i="5"/>
  <c r="HY12" i="5"/>
  <c r="HZ12" i="5"/>
  <c r="IF12" i="5"/>
  <c r="IG12" i="5"/>
  <c r="II12" i="5"/>
  <c r="IK12" i="5"/>
  <c r="IM12" i="5"/>
  <c r="IQ12" i="5"/>
  <c r="IS12" i="5"/>
  <c r="IU12" i="5"/>
  <c r="IW12" i="5"/>
  <c r="IX12" i="5"/>
  <c r="IY12" i="5"/>
  <c r="IZ12" i="5"/>
  <c r="JF12" i="5"/>
  <c r="JG12" i="5"/>
  <c r="JH12" i="5"/>
  <c r="JJ12" i="5"/>
  <c r="JS12" i="5"/>
  <c r="JU12" i="5"/>
  <c r="JW12" i="5"/>
  <c r="JY12" i="5"/>
  <c r="KA12" i="5"/>
  <c r="KC12" i="5"/>
  <c r="KJ12" i="5"/>
  <c r="KQ12" i="5"/>
  <c r="KS12" i="5"/>
  <c r="LB12" i="5"/>
  <c r="LI12" i="5"/>
  <c r="LJ12" i="5"/>
  <c r="LL12" i="5"/>
  <c r="LM12" i="5"/>
  <c r="LO12" i="5"/>
  <c r="LP12" i="5"/>
  <c r="ML12" i="5"/>
  <c r="AX13" i="5"/>
  <c r="BB13" i="5"/>
  <c r="BF13" i="5"/>
  <c r="BJ13" i="5"/>
  <c r="BN13" i="5"/>
  <c r="BR13" i="5"/>
  <c r="BV13" i="5"/>
  <c r="BY13" i="5"/>
  <c r="CB13" i="5"/>
  <c r="CE13" i="5"/>
  <c r="FP13" i="5"/>
  <c r="HF13" i="5"/>
  <c r="HG13" i="5"/>
  <c r="HP13" i="5" s="1"/>
  <c r="HR13" i="5" s="1"/>
  <c r="HY13" i="5"/>
  <c r="IF13" i="5"/>
  <c r="IG13" i="5"/>
  <c r="II13" i="5"/>
  <c r="IK13" i="5"/>
  <c r="IM13" i="5"/>
  <c r="IQ13" i="5"/>
  <c r="IS13" i="5"/>
  <c r="IU13" i="5"/>
  <c r="IW13" i="5"/>
  <c r="IY13" i="5" s="1"/>
  <c r="IX13" i="5"/>
  <c r="JF13" i="5"/>
  <c r="JG13" i="5" s="1"/>
  <c r="JJ13" i="5" s="1"/>
  <c r="KJ14" i="5" s="1"/>
  <c r="JH13" i="5"/>
  <c r="JS13" i="5"/>
  <c r="JW13" i="5"/>
  <c r="JY13" i="5"/>
  <c r="KA13" i="5"/>
  <c r="KJ13" i="5"/>
  <c r="KQ13" i="5"/>
  <c r="KS13" i="5"/>
  <c r="LB13" i="5"/>
  <c r="LI13" i="5"/>
  <c r="LL13" i="5"/>
  <c r="LO13" i="5"/>
  <c r="ML13" i="5"/>
  <c r="F14" i="5"/>
  <c r="H14" i="5"/>
  <c r="H21" i="5" s="1"/>
  <c r="J14" i="5"/>
  <c r="AX14" i="5"/>
  <c r="BB14" i="5"/>
  <c r="BF14" i="5"/>
  <c r="BJ14" i="5"/>
  <c r="BN14" i="5"/>
  <c r="BR14" i="5"/>
  <c r="BV14" i="5"/>
  <c r="BY14" i="5"/>
  <c r="CB14" i="5"/>
  <c r="CE14" i="5"/>
  <c r="FP14" i="5"/>
  <c r="HF14" i="5"/>
  <c r="HG14" i="5"/>
  <c r="HP14" i="5"/>
  <c r="HR14" i="5"/>
  <c r="HY14" i="5"/>
  <c r="HZ14" i="5"/>
  <c r="LJ14" i="5" s="1"/>
  <c r="IF14" i="5"/>
  <c r="IG14" i="5"/>
  <c r="II14" i="5"/>
  <c r="IK14" i="5"/>
  <c r="IM14" i="5"/>
  <c r="IQ14" i="5"/>
  <c r="IS14" i="5"/>
  <c r="IU14" i="5"/>
  <c r="IW14" i="5"/>
  <c r="IX14" i="5"/>
  <c r="LL14" i="5" s="1"/>
  <c r="IY14" i="5"/>
  <c r="JF14" i="5"/>
  <c r="JF26" i="5" s="1"/>
  <c r="K25" i="5" s="1"/>
  <c r="JG14" i="5"/>
  <c r="JH14" i="5"/>
  <c r="JH26" i="5" s="1"/>
  <c r="JK26" i="5" s="1"/>
  <c r="JJ14" i="5"/>
  <c r="KJ15" i="5" s="1"/>
  <c r="KS15" i="5" s="1"/>
  <c r="JS14" i="5"/>
  <c r="JU14" i="5"/>
  <c r="JW14" i="5"/>
  <c r="JX14" i="5"/>
  <c r="JY14" i="5"/>
  <c r="JY26" i="5" s="1"/>
  <c r="JZ27" i="5" s="1"/>
  <c r="JZ14" i="5"/>
  <c r="KA14" i="5"/>
  <c r="KA26" i="5" s="1"/>
  <c r="KB27" i="5" s="1"/>
  <c r="KB14" i="5"/>
  <c r="KC14" i="5"/>
  <c r="LI14" i="5"/>
  <c r="LO14" i="5" s="1"/>
  <c r="ML14" i="5"/>
  <c r="AX15" i="5"/>
  <c r="BB15" i="5"/>
  <c r="BF15" i="5"/>
  <c r="BJ15" i="5"/>
  <c r="BN15" i="5"/>
  <c r="BR15" i="5"/>
  <c r="BV15" i="5"/>
  <c r="BY15" i="5"/>
  <c r="CB15" i="5"/>
  <c r="CE15" i="5"/>
  <c r="FP15" i="5"/>
  <c r="HF15" i="5"/>
  <c r="HG15" i="5"/>
  <c r="HP15" i="5"/>
  <c r="HR15" i="5"/>
  <c r="HY15" i="5"/>
  <c r="HZ15" i="5"/>
  <c r="IF15" i="5"/>
  <c r="IG15" i="5"/>
  <c r="II15" i="5"/>
  <c r="IK15" i="5"/>
  <c r="IM15" i="5"/>
  <c r="IQ15" i="5"/>
  <c r="IS15" i="5"/>
  <c r="IU15" i="5"/>
  <c r="IW15" i="5"/>
  <c r="IX15" i="5"/>
  <c r="IY15" i="5"/>
  <c r="IZ15" i="5"/>
  <c r="JF15" i="5"/>
  <c r="JG15" i="5"/>
  <c r="JH15" i="5"/>
  <c r="JJ15" i="5"/>
  <c r="JS15" i="5"/>
  <c r="JU15" i="5"/>
  <c r="JW15" i="5"/>
  <c r="JY15" i="5"/>
  <c r="KA15" i="5"/>
  <c r="KC15" i="5"/>
  <c r="LI15" i="5"/>
  <c r="LJ15" i="5"/>
  <c r="LL15" i="5"/>
  <c r="LM15" i="5"/>
  <c r="LO15" i="5"/>
  <c r="LP15" i="5"/>
  <c r="ML15" i="5"/>
  <c r="AN16" i="5"/>
  <c r="AX16" i="5"/>
  <c r="BB16" i="5"/>
  <c r="BF16" i="5"/>
  <c r="BJ16" i="5"/>
  <c r="BN16" i="5"/>
  <c r="BR16" i="5"/>
  <c r="BV16" i="5"/>
  <c r="BY16" i="5"/>
  <c r="CB16" i="5"/>
  <c r="CE16" i="5"/>
  <c r="FP16" i="5"/>
  <c r="HF16" i="5"/>
  <c r="HG16" i="5"/>
  <c r="HP16" i="5"/>
  <c r="HR16" i="5"/>
  <c r="HY16" i="5"/>
  <c r="HZ16" i="5"/>
  <c r="IF16" i="5"/>
  <c r="IG16" i="5"/>
  <c r="II16" i="5"/>
  <c r="IK16" i="5"/>
  <c r="IM16" i="5"/>
  <c r="IQ16" i="5"/>
  <c r="IS16" i="5"/>
  <c r="IU16" i="5"/>
  <c r="IW16" i="5"/>
  <c r="IX16" i="5"/>
  <c r="IY16" i="5"/>
  <c r="IZ16" i="5"/>
  <c r="JF16" i="5"/>
  <c r="JG16" i="5"/>
  <c r="JH16" i="5"/>
  <c r="JJ16" i="5"/>
  <c r="JS16" i="5"/>
  <c r="JU16" i="5"/>
  <c r="JW16" i="5"/>
  <c r="JY16" i="5"/>
  <c r="KA16" i="5"/>
  <c r="KC16" i="5"/>
  <c r="KJ16" i="5"/>
  <c r="KQ16" i="5"/>
  <c r="KS16" i="5"/>
  <c r="LB16" i="5"/>
  <c r="LI16" i="5"/>
  <c r="LJ16" i="5"/>
  <c r="LL16" i="5"/>
  <c r="LM16" i="5"/>
  <c r="LO16" i="5"/>
  <c r="LP16" i="5"/>
  <c r="ML16" i="5"/>
  <c r="F17" i="5"/>
  <c r="CF16" i="5" s="1"/>
  <c r="CI16" i="5" s="1"/>
  <c r="CJ16" i="5" s="1"/>
  <c r="H17" i="5"/>
  <c r="J17" i="5"/>
  <c r="AN17" i="5"/>
  <c r="AX17" i="5"/>
  <c r="BB17" i="5"/>
  <c r="BF17" i="5"/>
  <c r="BJ17" i="5"/>
  <c r="BN17" i="5"/>
  <c r="BR17" i="5"/>
  <c r="BV17" i="5"/>
  <c r="BY17" i="5"/>
  <c r="CB17" i="5"/>
  <c r="CE17" i="5"/>
  <c r="FP17" i="5"/>
  <c r="HF17" i="5"/>
  <c r="HG17" i="5"/>
  <c r="HP17" i="5"/>
  <c r="HR17" i="5"/>
  <c r="HY17" i="5"/>
  <c r="HZ17" i="5"/>
  <c r="IF17" i="5"/>
  <c r="IG17" i="5"/>
  <c r="II17" i="5"/>
  <c r="IK17" i="5"/>
  <c r="IM17" i="5"/>
  <c r="IQ17" i="5"/>
  <c r="IS17" i="5"/>
  <c r="IU17" i="5"/>
  <c r="IW17" i="5"/>
  <c r="IX17" i="5"/>
  <c r="IY17" i="5"/>
  <c r="LB18" i="5" s="1"/>
  <c r="IZ17" i="5"/>
  <c r="JF17" i="5"/>
  <c r="JG17" i="5"/>
  <c r="JH17" i="5"/>
  <c r="JJ17" i="5"/>
  <c r="KJ18" i="5" s="1"/>
  <c r="KS18" i="5" s="1"/>
  <c r="JS17" i="5"/>
  <c r="JU17" i="5"/>
  <c r="JW17" i="5"/>
  <c r="JY17" i="5"/>
  <c r="KA17" i="5"/>
  <c r="KC17" i="5"/>
  <c r="KJ17" i="5"/>
  <c r="KQ17" i="5"/>
  <c r="KS17" i="5"/>
  <c r="LB17" i="5"/>
  <c r="LI17" i="5"/>
  <c r="LJ17" i="5"/>
  <c r="LL17" i="5"/>
  <c r="LM17" i="5"/>
  <c r="LO17" i="5"/>
  <c r="LP17" i="5"/>
  <c r="ML17" i="5"/>
  <c r="F18" i="5"/>
  <c r="CF17" i="5" s="1"/>
  <c r="CI17" i="5" s="1"/>
  <c r="CJ17" i="5" s="1"/>
  <c r="H18" i="5"/>
  <c r="J18" i="5"/>
  <c r="AN18" i="5"/>
  <c r="AN19" i="5" s="1"/>
  <c r="AN20" i="5" s="1"/>
  <c r="AX18" i="5"/>
  <c r="BB18" i="5"/>
  <c r="BF18" i="5"/>
  <c r="BJ18" i="5"/>
  <c r="BN18" i="5"/>
  <c r="BR18" i="5"/>
  <c r="BV18" i="5"/>
  <c r="BY18" i="5"/>
  <c r="CB18" i="5"/>
  <c r="CE18" i="5"/>
  <c r="FP18" i="5"/>
  <c r="HF18" i="5"/>
  <c r="HG18" i="5"/>
  <c r="HP18" i="5"/>
  <c r="HR18" i="5"/>
  <c r="HY18" i="5"/>
  <c r="LI18" i="5" s="1"/>
  <c r="HZ18" i="5"/>
  <c r="LJ18" i="5" s="1"/>
  <c r="IF18" i="5"/>
  <c r="IG18" i="5"/>
  <c r="II18" i="5"/>
  <c r="IK18" i="5"/>
  <c r="IM18" i="5"/>
  <c r="IQ18" i="5"/>
  <c r="IS18" i="5"/>
  <c r="IU18" i="5"/>
  <c r="IW18" i="5"/>
  <c r="IX18" i="5"/>
  <c r="LL18" i="5" s="1"/>
  <c r="IY18" i="5"/>
  <c r="JF18" i="5"/>
  <c r="JG18" i="5" s="1"/>
  <c r="JJ18" i="5" s="1"/>
  <c r="KJ19" i="5" s="1"/>
  <c r="KS19" i="5" s="1"/>
  <c r="JH18" i="5"/>
  <c r="JS18" i="5"/>
  <c r="JU18" i="5"/>
  <c r="JW18" i="5"/>
  <c r="JX18" i="5"/>
  <c r="JY18" i="5"/>
  <c r="JZ18" i="5"/>
  <c r="KA18" i="5"/>
  <c r="KB18" i="5"/>
  <c r="KC18" i="5"/>
  <c r="ML18" i="5"/>
  <c r="AX19" i="5"/>
  <c r="BB19" i="5"/>
  <c r="BF19" i="5"/>
  <c r="BJ19" i="5"/>
  <c r="BN19" i="5"/>
  <c r="BR19" i="5"/>
  <c r="BV19" i="5"/>
  <c r="BY19" i="5"/>
  <c r="CB19" i="5"/>
  <c r="CE19" i="5"/>
  <c r="FP19" i="5"/>
  <c r="HF19" i="5"/>
  <c r="HG19" i="5"/>
  <c r="HP19" i="5"/>
  <c r="HR19" i="5"/>
  <c r="HY19" i="5"/>
  <c r="HZ19" i="5"/>
  <c r="IF19" i="5"/>
  <c r="IG19" i="5"/>
  <c r="II19" i="5"/>
  <c r="IK19" i="5"/>
  <c r="IM19" i="5"/>
  <c r="IQ19" i="5"/>
  <c r="IS19" i="5"/>
  <c r="IU19" i="5"/>
  <c r="IW19" i="5"/>
  <c r="IX19" i="5"/>
  <c r="IY19" i="5"/>
  <c r="IZ19" i="5"/>
  <c r="JF19" i="5"/>
  <c r="JG19" i="5"/>
  <c r="JH19" i="5"/>
  <c r="JJ19" i="5"/>
  <c r="JS19" i="5"/>
  <c r="JU19" i="5"/>
  <c r="JW19" i="5"/>
  <c r="JY19" i="5"/>
  <c r="KA19" i="5"/>
  <c r="KC19" i="5"/>
  <c r="LI19" i="5"/>
  <c r="LJ19" i="5"/>
  <c r="LL19" i="5"/>
  <c r="LM19" i="5"/>
  <c r="LO19" i="5"/>
  <c r="LP19" i="5"/>
  <c r="ML19" i="5"/>
  <c r="H20" i="5"/>
  <c r="AX20" i="5"/>
  <c r="BB20" i="5"/>
  <c r="BF20" i="5"/>
  <c r="BJ20" i="5"/>
  <c r="BN20" i="5"/>
  <c r="BR20" i="5"/>
  <c r="BV20" i="5"/>
  <c r="BY20" i="5"/>
  <c r="CB20" i="5"/>
  <c r="CE20" i="5"/>
  <c r="FM20" i="5"/>
  <c r="FN20" i="5"/>
  <c r="FO20" i="5"/>
  <c r="FP20" i="5"/>
  <c r="HF20" i="5"/>
  <c r="HG20" i="5"/>
  <c r="HP20" i="5"/>
  <c r="HR20" i="5"/>
  <c r="HY20" i="5"/>
  <c r="HZ20" i="5"/>
  <c r="IF20" i="5"/>
  <c r="IG20" i="5"/>
  <c r="II20" i="5"/>
  <c r="IK20" i="5"/>
  <c r="IM20" i="5"/>
  <c r="IQ20" i="5"/>
  <c r="IS20" i="5"/>
  <c r="IU20" i="5"/>
  <c r="IW20" i="5"/>
  <c r="IX20" i="5"/>
  <c r="IY20" i="5"/>
  <c r="IZ20" i="5"/>
  <c r="JF20" i="5"/>
  <c r="JG20" i="5"/>
  <c r="JH20" i="5"/>
  <c r="JJ20" i="5"/>
  <c r="JS20" i="5"/>
  <c r="JU20" i="5"/>
  <c r="JW20" i="5"/>
  <c r="JY20" i="5"/>
  <c r="KA20" i="5"/>
  <c r="KC20" i="5"/>
  <c r="KJ20" i="5"/>
  <c r="KQ20" i="5"/>
  <c r="KS20" i="5"/>
  <c r="LB20" i="5"/>
  <c r="LI20" i="5"/>
  <c r="LJ20" i="5"/>
  <c r="LL20" i="5"/>
  <c r="LM20" i="5"/>
  <c r="LO20" i="5"/>
  <c r="LP20" i="5"/>
  <c r="ML20" i="5"/>
  <c r="HF21" i="5"/>
  <c r="HG21" i="5"/>
  <c r="HP21" i="5"/>
  <c r="HR21" i="5"/>
  <c r="HY21" i="5"/>
  <c r="HZ21" i="5"/>
  <c r="IF21" i="5"/>
  <c r="IG21" i="5"/>
  <c r="II21" i="5"/>
  <c r="IK21" i="5"/>
  <c r="IM21" i="5"/>
  <c r="IQ21" i="5"/>
  <c r="IS21" i="5"/>
  <c r="IU21" i="5"/>
  <c r="IW21" i="5"/>
  <c r="IX21" i="5"/>
  <c r="IY21" i="5"/>
  <c r="IZ21" i="5"/>
  <c r="JF21" i="5"/>
  <c r="JG21" i="5"/>
  <c r="JH21" i="5"/>
  <c r="JJ21" i="5"/>
  <c r="JS21" i="5"/>
  <c r="JU21" i="5"/>
  <c r="JW21" i="5"/>
  <c r="JY21" i="5"/>
  <c r="KA21" i="5"/>
  <c r="KC21" i="5"/>
  <c r="KJ21" i="5"/>
  <c r="KQ21" i="5"/>
  <c r="KS21" i="5"/>
  <c r="LB21" i="5"/>
  <c r="LI21" i="5"/>
  <c r="LJ21" i="5"/>
  <c r="LL21" i="5"/>
  <c r="LM21" i="5"/>
  <c r="LO21" i="5"/>
  <c r="LP21" i="5"/>
  <c r="ML21" i="5"/>
  <c r="FP22" i="5"/>
  <c r="HF22" i="5"/>
  <c r="HG22" i="5"/>
  <c r="HP22" i="5"/>
  <c r="HR22" i="5"/>
  <c r="HY22" i="5"/>
  <c r="HZ22" i="5"/>
  <c r="IF22" i="5"/>
  <c r="IG22" i="5"/>
  <c r="II22" i="5"/>
  <c r="IK22" i="5"/>
  <c r="IM22" i="5"/>
  <c r="IQ22" i="5"/>
  <c r="IS22" i="5"/>
  <c r="IU22" i="5"/>
  <c r="IW22" i="5"/>
  <c r="IX22" i="5"/>
  <c r="IY22" i="5"/>
  <c r="IZ22" i="5"/>
  <c r="JF22" i="5"/>
  <c r="JG22" i="5"/>
  <c r="JH22" i="5"/>
  <c r="JJ22" i="5"/>
  <c r="JS22" i="5"/>
  <c r="JU22" i="5"/>
  <c r="JW22" i="5"/>
  <c r="JY22" i="5"/>
  <c r="KA22" i="5"/>
  <c r="KC22" i="5"/>
  <c r="KJ22" i="5"/>
  <c r="KQ22" i="5"/>
  <c r="KS22" i="5"/>
  <c r="LB22" i="5"/>
  <c r="LI22" i="5"/>
  <c r="LJ22" i="5"/>
  <c r="LL22" i="5"/>
  <c r="LM22" i="5"/>
  <c r="LO22" i="5"/>
  <c r="LP22" i="5"/>
  <c r="FP23" i="5"/>
  <c r="HF23" i="5"/>
  <c r="HG23" i="5"/>
  <c r="HP23" i="5"/>
  <c r="HR23" i="5"/>
  <c r="HY23" i="5"/>
  <c r="HZ23" i="5"/>
  <c r="IF23" i="5"/>
  <c r="IG23" i="5"/>
  <c r="II23" i="5"/>
  <c r="IK23" i="5"/>
  <c r="IM23" i="5"/>
  <c r="IQ23" i="5"/>
  <c r="IS23" i="5"/>
  <c r="IU23" i="5"/>
  <c r="IW23" i="5"/>
  <c r="IX23" i="5"/>
  <c r="IY23" i="5"/>
  <c r="IZ23" i="5"/>
  <c r="JF23" i="5"/>
  <c r="JG23" i="5"/>
  <c r="JH23" i="5"/>
  <c r="JJ23" i="5"/>
  <c r="JS23" i="5"/>
  <c r="JU23" i="5"/>
  <c r="JW23" i="5"/>
  <c r="JY23" i="5"/>
  <c r="KA23" i="5"/>
  <c r="KC23" i="5"/>
  <c r="KJ23" i="5"/>
  <c r="KQ23" i="5"/>
  <c r="KS23" i="5"/>
  <c r="LB23" i="5"/>
  <c r="LI23" i="5"/>
  <c r="LJ23" i="5"/>
  <c r="LL23" i="5"/>
  <c r="LM23" i="5"/>
  <c r="LO23" i="5"/>
  <c r="LP23" i="5"/>
  <c r="ML23" i="5"/>
  <c r="FM24" i="5"/>
  <c r="FN24" i="5"/>
  <c r="FO24" i="5"/>
  <c r="FP24" i="5"/>
  <c r="HF24" i="5"/>
  <c r="HG24" i="5"/>
  <c r="HP24" i="5"/>
  <c r="HR24" i="5"/>
  <c r="HY24" i="5"/>
  <c r="HZ24" i="5"/>
  <c r="IF24" i="5"/>
  <c r="IG24" i="5"/>
  <c r="II24" i="5"/>
  <c r="IK24" i="5"/>
  <c r="IM24" i="5"/>
  <c r="IQ24" i="5"/>
  <c r="IS24" i="5"/>
  <c r="IU24" i="5"/>
  <c r="IW24" i="5"/>
  <c r="IX24" i="5"/>
  <c r="IY24" i="5"/>
  <c r="IZ24" i="5"/>
  <c r="JF24" i="5"/>
  <c r="JG24" i="5"/>
  <c r="JH24" i="5"/>
  <c r="JJ24" i="5"/>
  <c r="JS24" i="5"/>
  <c r="JU24" i="5"/>
  <c r="JW24" i="5"/>
  <c r="JY24" i="5"/>
  <c r="KA24" i="5"/>
  <c r="KC24" i="5"/>
  <c r="KJ24" i="5"/>
  <c r="KQ24" i="5"/>
  <c r="KS24" i="5"/>
  <c r="LB24" i="5"/>
  <c r="LI24" i="5"/>
  <c r="LJ24" i="5"/>
  <c r="LL24" i="5"/>
  <c r="LM24" i="5"/>
  <c r="LO24" i="5"/>
  <c r="LP24" i="5"/>
  <c r="ML24" i="5"/>
  <c r="HF25" i="5"/>
  <c r="HG25" i="5"/>
  <c r="HP25" i="5"/>
  <c r="HR25" i="5"/>
  <c r="HY25" i="5"/>
  <c r="HZ25" i="5"/>
  <c r="IF25" i="5"/>
  <c r="IG25" i="5"/>
  <c r="II25" i="5"/>
  <c r="IK25" i="5"/>
  <c r="IM25" i="5"/>
  <c r="IQ25" i="5"/>
  <c r="IS25" i="5"/>
  <c r="IU25" i="5"/>
  <c r="IW25" i="5"/>
  <c r="IX25" i="5"/>
  <c r="IY25" i="5"/>
  <c r="IZ25" i="5"/>
  <c r="JF25" i="5"/>
  <c r="JG25" i="5"/>
  <c r="JH25" i="5"/>
  <c r="JJ25" i="5"/>
  <c r="JS25" i="5"/>
  <c r="JU25" i="5"/>
  <c r="JW25" i="5"/>
  <c r="JY25" i="5"/>
  <c r="KA25" i="5"/>
  <c r="KC25" i="5"/>
  <c r="KJ25" i="5"/>
  <c r="KQ25" i="5"/>
  <c r="KS25" i="5"/>
  <c r="LB25" i="5"/>
  <c r="LI25" i="5"/>
  <c r="LJ25" i="5"/>
  <c r="LL25" i="5"/>
  <c r="LM25" i="5"/>
  <c r="LO25" i="5"/>
  <c r="LP25" i="5"/>
  <c r="ML25" i="5"/>
  <c r="FP26" i="5"/>
  <c r="HB26" i="5"/>
  <c r="HC26" i="5"/>
  <c r="HD26" i="5"/>
  <c r="HE26" i="5"/>
  <c r="HF26" i="5"/>
  <c r="HG26" i="5"/>
  <c r="HP26" i="5"/>
  <c r="HQ26" i="5"/>
  <c r="HS26" i="5"/>
  <c r="HT26" i="5"/>
  <c r="K8" i="5" s="1"/>
  <c r="HU26" i="5"/>
  <c r="HV26" i="5"/>
  <c r="K9" i="5" s="1"/>
  <c r="HW26" i="5"/>
  <c r="HX26" i="5"/>
  <c r="HY26" i="5"/>
  <c r="IF26" i="5"/>
  <c r="IG26" i="5"/>
  <c r="IH26" i="5"/>
  <c r="AH13" i="5" s="1"/>
  <c r="IJ26" i="5"/>
  <c r="AI13" i="5" s="1"/>
  <c r="IL26" i="5"/>
  <c r="AJ13" i="5" s="1"/>
  <c r="IN26" i="5"/>
  <c r="IO26" i="5"/>
  <c r="K17" i="5" s="1"/>
  <c r="IP26" i="5"/>
  <c r="IR26" i="5"/>
  <c r="IT26" i="5"/>
  <c r="IV26" i="5"/>
  <c r="IX26" i="5"/>
  <c r="JI26" i="5"/>
  <c r="JS26" i="5"/>
  <c r="JW26" i="5"/>
  <c r="JX26" i="5"/>
  <c r="N8" i="5" s="1"/>
  <c r="JZ26" i="5"/>
  <c r="N9" i="5" s="1"/>
  <c r="KB26" i="5"/>
  <c r="KJ26" i="5"/>
  <c r="KQ26" i="5"/>
  <c r="KS26" i="5"/>
  <c r="LB26" i="5"/>
  <c r="MF26" i="5"/>
  <c r="MN26" i="5"/>
  <c r="MO26" i="5"/>
  <c r="MP26" i="5"/>
  <c r="FP27" i="5"/>
  <c r="HT27" i="5"/>
  <c r="HV27" i="5"/>
  <c r="HX27" i="5"/>
  <c r="IO27" i="5"/>
  <c r="JX27" i="5"/>
  <c r="MF27" i="5"/>
  <c r="MO27" i="5"/>
  <c r="MP27" i="5"/>
  <c r="FP28" i="5"/>
  <c r="KR28" i="5"/>
  <c r="FP29" i="5"/>
  <c r="MC29" i="5"/>
  <c r="ME29" i="5"/>
  <c r="MF29" i="5"/>
  <c r="MN29" i="5"/>
  <c r="MO29" i="5"/>
  <c r="MP29" i="5" s="1"/>
  <c r="FP30" i="5"/>
  <c r="FM31" i="5"/>
  <c r="FN31" i="5"/>
  <c r="FO31" i="5"/>
  <c r="FP31" i="5"/>
  <c r="ML31" i="5"/>
  <c r="ML32" i="5"/>
  <c r="FP33" i="5"/>
  <c r="FP34" i="5"/>
  <c r="ML34" i="5"/>
  <c r="FM35" i="5"/>
  <c r="FN35" i="5"/>
  <c r="FO35" i="5"/>
  <c r="FP35" i="5"/>
  <c r="ML35" i="5"/>
  <c r="FM36" i="5"/>
  <c r="FN36" i="5"/>
  <c r="FO36" i="5"/>
  <c r="FP36" i="5"/>
  <c r="F20" i="5" s="1"/>
  <c r="GY35" i="4"/>
  <c r="GZ35" i="4" s="1"/>
  <c r="HA35" i="4" s="1"/>
  <c r="HB35" i="4" s="1"/>
  <c r="HC35" i="4" s="1"/>
  <c r="FZ34" i="4"/>
  <c r="GA34" i="4" s="1"/>
  <c r="GB34" i="4" s="1"/>
  <c r="FU34" i="4"/>
  <c r="FV34" i="4" s="1"/>
  <c r="FW34" i="4" s="1"/>
  <c r="FX34" i="4" s="1"/>
  <c r="GJ32" i="4"/>
  <c r="GK32" i="4" s="1"/>
  <c r="GL32" i="4" s="1"/>
  <c r="GM32" i="4" s="1"/>
  <c r="GN32" i="4" s="1"/>
  <c r="GO32" i="4" s="1"/>
  <c r="GP32" i="4" s="1"/>
  <c r="GQ32" i="4" s="1"/>
  <c r="HA31" i="4"/>
  <c r="AS31" i="4"/>
  <c r="AT31" i="4" s="1"/>
  <c r="AU31" i="4" s="1"/>
  <c r="AV31" i="4" s="1"/>
  <c r="AW31" i="4" s="1"/>
  <c r="AX31" i="4" s="1"/>
  <c r="AZ31" i="4" s="1"/>
  <c r="Y31" i="4"/>
  <c r="FL31" i="4" s="1"/>
  <c r="FM31" i="4" s="1"/>
  <c r="N28" i="4"/>
  <c r="L28" i="4"/>
  <c r="JI27" i="4"/>
  <c r="JG27" i="4"/>
  <c r="IW27" i="4"/>
  <c r="HS27" i="4"/>
  <c r="HQ27" i="4"/>
  <c r="GV27" i="4"/>
  <c r="GZ27" i="4" s="1"/>
  <c r="GQ27" i="4"/>
  <c r="GG27" i="4"/>
  <c r="FI27" i="4"/>
  <c r="EN27" i="4"/>
  <c r="DW27" i="4"/>
  <c r="DH27" i="4"/>
  <c r="CI27" i="4"/>
  <c r="BL27" i="4"/>
  <c r="AT27" i="4"/>
  <c r="AQ27" i="4"/>
  <c r="AS27" i="4" s="1"/>
  <c r="V27" i="4"/>
  <c r="O27" i="4"/>
  <c r="M27" i="4"/>
  <c r="J27" i="4"/>
  <c r="JI26" i="4"/>
  <c r="JG26" i="4"/>
  <c r="HS26" i="4"/>
  <c r="HQ26" i="4"/>
  <c r="GV26" i="4"/>
  <c r="GZ26" i="4" s="1"/>
  <c r="GQ26" i="4"/>
  <c r="GG26" i="4"/>
  <c r="FI26" i="4"/>
  <c r="EN26" i="4"/>
  <c r="DH26" i="4"/>
  <c r="CI26" i="4"/>
  <c r="BL26" i="4"/>
  <c r="AT26" i="4"/>
  <c r="AQ26" i="4"/>
  <c r="AS26" i="4" s="1"/>
  <c r="V26" i="4"/>
  <c r="O26" i="4"/>
  <c r="J26" i="4"/>
  <c r="JW25" i="4"/>
  <c r="JI25" i="4"/>
  <c r="JG25" i="4"/>
  <c r="HS25" i="4"/>
  <c r="HQ25" i="4"/>
  <c r="GV25" i="4"/>
  <c r="GZ25" i="4" s="1"/>
  <c r="GQ25" i="4"/>
  <c r="GG25" i="4"/>
  <c r="FI25" i="4"/>
  <c r="EN25" i="4"/>
  <c r="DW25" i="4"/>
  <c r="DH25" i="4"/>
  <c r="CI25" i="4"/>
  <c r="BL25" i="4"/>
  <c r="AT25" i="4"/>
  <c r="AQ25" i="4"/>
  <c r="AS25" i="4" s="1"/>
  <c r="V25" i="4"/>
  <c r="O25" i="4"/>
  <c r="J25" i="4"/>
  <c r="JI24" i="4"/>
  <c r="JG24" i="4"/>
  <c r="IW24" i="4"/>
  <c r="HS24" i="4"/>
  <c r="HQ24" i="4"/>
  <c r="GV24" i="4"/>
  <c r="GZ24" i="4" s="1"/>
  <c r="GQ24" i="4"/>
  <c r="GG24" i="4"/>
  <c r="FI24" i="4"/>
  <c r="EN24" i="4"/>
  <c r="DW24" i="4"/>
  <c r="DH24" i="4"/>
  <c r="CI24" i="4"/>
  <c r="BL24" i="4"/>
  <c r="AT24" i="4"/>
  <c r="AQ24" i="4"/>
  <c r="AS24" i="4" s="1"/>
  <c r="V24" i="4"/>
  <c r="O24" i="4"/>
  <c r="J24" i="4"/>
  <c r="JI23" i="4"/>
  <c r="JG23" i="4"/>
  <c r="IW23" i="4"/>
  <c r="HS23" i="4"/>
  <c r="HQ23" i="4"/>
  <c r="GV23" i="4"/>
  <c r="GZ23" i="4" s="1"/>
  <c r="GQ23" i="4"/>
  <c r="GG23" i="4"/>
  <c r="FI23" i="4"/>
  <c r="EN23" i="4"/>
  <c r="DW23" i="4"/>
  <c r="DH23" i="4"/>
  <c r="CI23" i="4"/>
  <c r="BL23" i="4"/>
  <c r="AT23" i="4"/>
  <c r="AQ23" i="4"/>
  <c r="AS23" i="4" s="1"/>
  <c r="V23" i="4"/>
  <c r="O23" i="4"/>
  <c r="M23" i="4"/>
  <c r="J23" i="4"/>
  <c r="JI22" i="4"/>
  <c r="JG22" i="4"/>
  <c r="HS22" i="4"/>
  <c r="HQ22" i="4"/>
  <c r="GV22" i="4"/>
  <c r="GZ22" i="4" s="1"/>
  <c r="GQ22" i="4"/>
  <c r="GG22" i="4"/>
  <c r="FI22" i="4"/>
  <c r="EN22" i="4"/>
  <c r="DW22" i="4"/>
  <c r="DH22" i="4"/>
  <c r="CI22" i="4"/>
  <c r="BL22" i="4"/>
  <c r="AT22" i="4"/>
  <c r="AQ22" i="4"/>
  <c r="AS22" i="4" s="1"/>
  <c r="V22" i="4"/>
  <c r="O22" i="4"/>
  <c r="M22" i="4"/>
  <c r="J22" i="4"/>
  <c r="JI21" i="4"/>
  <c r="JG21" i="4"/>
  <c r="HS21" i="4"/>
  <c r="HQ21" i="4"/>
  <c r="GV21" i="4"/>
  <c r="GZ21" i="4" s="1"/>
  <c r="GQ21" i="4"/>
  <c r="GG21" i="4"/>
  <c r="FI21" i="4"/>
  <c r="EN21" i="4"/>
  <c r="DW21" i="4"/>
  <c r="DH21" i="4"/>
  <c r="CI21" i="4"/>
  <c r="BL21" i="4"/>
  <c r="AT21" i="4"/>
  <c r="AQ21" i="4"/>
  <c r="AS21" i="4" s="1"/>
  <c r="V21" i="4"/>
  <c r="O21" i="4"/>
  <c r="J21" i="4"/>
  <c r="JI20" i="4"/>
  <c r="JG20" i="4"/>
  <c r="HS20" i="4"/>
  <c r="HQ20" i="4"/>
  <c r="GV20" i="4"/>
  <c r="GZ20" i="4" s="1"/>
  <c r="GQ20" i="4"/>
  <c r="GG20" i="4"/>
  <c r="FI20" i="4"/>
  <c r="EN20" i="4"/>
  <c r="DW20" i="4"/>
  <c r="DH20" i="4"/>
  <c r="CI20" i="4"/>
  <c r="BL20" i="4"/>
  <c r="AT20" i="4"/>
  <c r="AQ20" i="4"/>
  <c r="AS20" i="4" s="1"/>
  <c r="V20" i="4"/>
  <c r="O20" i="4"/>
  <c r="J20" i="4"/>
  <c r="JI19" i="4"/>
  <c r="JG19" i="4"/>
  <c r="HS19" i="4"/>
  <c r="HQ19" i="4"/>
  <c r="GV19" i="4"/>
  <c r="GZ19" i="4" s="1"/>
  <c r="GQ19" i="4"/>
  <c r="GG19" i="4"/>
  <c r="FI19" i="4"/>
  <c r="EN19" i="4"/>
  <c r="DW19" i="4"/>
  <c r="DH19" i="4"/>
  <c r="CI19" i="4"/>
  <c r="BL19" i="4"/>
  <c r="AT19" i="4"/>
  <c r="AQ19" i="4"/>
  <c r="AS19" i="4" s="1"/>
  <c r="V19" i="4"/>
  <c r="O19" i="4"/>
  <c r="M19" i="4"/>
  <c r="J19" i="4"/>
  <c r="JI18" i="4"/>
  <c r="JG18" i="4"/>
  <c r="HS18" i="4"/>
  <c r="HQ18" i="4"/>
  <c r="GV18" i="4"/>
  <c r="GZ18" i="4" s="1"/>
  <c r="GQ18" i="4"/>
  <c r="GG18" i="4"/>
  <c r="FI18" i="4"/>
  <c r="EN18" i="4"/>
  <c r="DW18" i="4"/>
  <c r="DH18" i="4"/>
  <c r="CI18" i="4"/>
  <c r="BL18" i="4"/>
  <c r="AT18" i="4"/>
  <c r="AQ18" i="4"/>
  <c r="AS18" i="4" s="1"/>
  <c r="V18" i="4"/>
  <c r="O18" i="4"/>
  <c r="J18" i="4"/>
  <c r="JI17" i="4"/>
  <c r="JG17" i="4"/>
  <c r="IW17" i="4"/>
  <c r="HS17" i="4"/>
  <c r="HQ17" i="4"/>
  <c r="GV17" i="4"/>
  <c r="GZ17" i="4" s="1"/>
  <c r="GQ17" i="4"/>
  <c r="GG17" i="4"/>
  <c r="FI17" i="4"/>
  <c r="EN17" i="4"/>
  <c r="DW17" i="4"/>
  <c r="DH17" i="4"/>
  <c r="CI17" i="4"/>
  <c r="BL17" i="4"/>
  <c r="AT17" i="4"/>
  <c r="AQ17" i="4"/>
  <c r="AS17" i="4" s="1"/>
  <c r="V17" i="4"/>
  <c r="O17" i="4"/>
  <c r="J17" i="4"/>
  <c r="JI16" i="4"/>
  <c r="JG16" i="4"/>
  <c r="HS16" i="4"/>
  <c r="HQ16" i="4"/>
  <c r="GV16" i="4"/>
  <c r="GZ16" i="4" s="1"/>
  <c r="GQ16" i="4"/>
  <c r="GG16" i="4"/>
  <c r="FI16" i="4"/>
  <c r="EN16" i="4"/>
  <c r="DW16" i="4"/>
  <c r="DH16" i="4"/>
  <c r="CI16" i="4"/>
  <c r="BL16" i="4"/>
  <c r="AT16" i="4"/>
  <c r="AQ16" i="4"/>
  <c r="AS16" i="4" s="1"/>
  <c r="V16" i="4"/>
  <c r="O16" i="4"/>
  <c r="J16" i="4"/>
  <c r="JI15" i="4"/>
  <c r="JG15" i="4"/>
  <c r="IW15" i="4"/>
  <c r="HS15" i="4"/>
  <c r="HQ15" i="4"/>
  <c r="GV15" i="4"/>
  <c r="GZ15" i="4" s="1"/>
  <c r="GQ15" i="4"/>
  <c r="GG15" i="4"/>
  <c r="FI15" i="4"/>
  <c r="EN15" i="4"/>
  <c r="DW15" i="4"/>
  <c r="DH15" i="4"/>
  <c r="CI15" i="4"/>
  <c r="BL15" i="4"/>
  <c r="AT15" i="4"/>
  <c r="AQ15" i="4"/>
  <c r="AS15" i="4" s="1"/>
  <c r="V15" i="4"/>
  <c r="O15" i="4"/>
  <c r="J15" i="4"/>
  <c r="JI14" i="4"/>
  <c r="JG14" i="4"/>
  <c r="HS14" i="4"/>
  <c r="HQ14" i="4"/>
  <c r="GV14" i="4"/>
  <c r="GZ14" i="4" s="1"/>
  <c r="GQ14" i="4"/>
  <c r="GG14" i="4"/>
  <c r="FI14" i="4"/>
  <c r="EN14" i="4"/>
  <c r="DW14" i="4"/>
  <c r="DH14" i="4"/>
  <c r="CI14" i="4"/>
  <c r="BL14" i="4"/>
  <c r="AT14" i="4"/>
  <c r="AQ14" i="4"/>
  <c r="AS14" i="4" s="1"/>
  <c r="AU14" i="4" s="1"/>
  <c r="V14" i="4"/>
  <c r="O14" i="4"/>
  <c r="M14" i="4"/>
  <c r="J14" i="4"/>
  <c r="JI13" i="4"/>
  <c r="JG13" i="4"/>
  <c r="HS13" i="4"/>
  <c r="HQ13" i="4"/>
  <c r="GV13" i="4"/>
  <c r="GZ13" i="4" s="1"/>
  <c r="GQ13" i="4"/>
  <c r="GG13" i="4"/>
  <c r="FQ13" i="4"/>
  <c r="FI13" i="4"/>
  <c r="EN13" i="4"/>
  <c r="DW13" i="4"/>
  <c r="DH13" i="4"/>
  <c r="CI13" i="4"/>
  <c r="BL13" i="4"/>
  <c r="AT13" i="4"/>
  <c r="AQ13" i="4"/>
  <c r="AS13" i="4" s="1"/>
  <c r="V13" i="4"/>
  <c r="O13" i="4"/>
  <c r="M13" i="4"/>
  <c r="J13" i="4"/>
  <c r="E13" i="4"/>
  <c r="JI12" i="4"/>
  <c r="JG12" i="4"/>
  <c r="HS12" i="4"/>
  <c r="HQ12" i="4"/>
  <c r="GV12" i="4"/>
  <c r="GZ12" i="4" s="1"/>
  <c r="GQ12" i="4"/>
  <c r="GG12" i="4"/>
  <c r="FI12" i="4"/>
  <c r="EN12" i="4"/>
  <c r="DW12" i="4"/>
  <c r="DH12" i="4"/>
  <c r="CI12" i="4"/>
  <c r="BL12" i="4"/>
  <c r="AT12" i="4"/>
  <c r="AQ12" i="4"/>
  <c r="AS12" i="4" s="1"/>
  <c r="V12" i="4"/>
  <c r="O12" i="4"/>
  <c r="M12" i="4"/>
  <c r="J12" i="4"/>
  <c r="JI11" i="4"/>
  <c r="JG11" i="4"/>
  <c r="HS11" i="4"/>
  <c r="HQ11" i="4"/>
  <c r="GV11" i="4"/>
  <c r="GZ11" i="4" s="1"/>
  <c r="GQ11" i="4"/>
  <c r="GG11" i="4"/>
  <c r="FI11" i="4"/>
  <c r="EN11" i="4"/>
  <c r="DW11" i="4"/>
  <c r="DH11" i="4"/>
  <c r="CI11" i="4"/>
  <c r="BL11" i="4"/>
  <c r="AT11" i="4"/>
  <c r="AQ11" i="4"/>
  <c r="AS11" i="4" s="1"/>
  <c r="V11" i="4"/>
  <c r="O11" i="4"/>
  <c r="M11" i="4"/>
  <c r="J11" i="4"/>
  <c r="JI10" i="4"/>
  <c r="JG10" i="4"/>
  <c r="HS10" i="4"/>
  <c r="HQ10" i="4"/>
  <c r="GV10" i="4"/>
  <c r="GZ10" i="4" s="1"/>
  <c r="GQ10" i="4"/>
  <c r="GG10" i="4"/>
  <c r="FI10" i="4"/>
  <c r="EN10" i="4"/>
  <c r="DW10" i="4"/>
  <c r="DH10" i="4"/>
  <c r="CI10" i="4"/>
  <c r="BL10" i="4"/>
  <c r="BP10" i="4" s="1"/>
  <c r="AT10" i="4"/>
  <c r="AS10" i="4"/>
  <c r="AU10" i="4" s="1"/>
  <c r="AQ10" i="4"/>
  <c r="V10" i="4"/>
  <c r="O10" i="4"/>
  <c r="M10" i="4"/>
  <c r="J10" i="4"/>
  <c r="JI9" i="4"/>
  <c r="JG9" i="4"/>
  <c r="HS9" i="4"/>
  <c r="HQ9" i="4"/>
  <c r="GV9" i="4"/>
  <c r="GZ9" i="4" s="1"/>
  <c r="GQ9" i="4"/>
  <c r="GG9" i="4"/>
  <c r="FI9" i="4"/>
  <c r="EN9" i="4"/>
  <c r="DW9" i="4"/>
  <c r="DH9" i="4"/>
  <c r="CI9" i="4"/>
  <c r="BY9" i="4"/>
  <c r="BL9" i="4"/>
  <c r="AT9" i="4"/>
  <c r="AQ9" i="4"/>
  <c r="AS9" i="4" s="1"/>
  <c r="V9" i="4"/>
  <c r="O9" i="4"/>
  <c r="M9" i="4"/>
  <c r="J9" i="4"/>
  <c r="JI8" i="4"/>
  <c r="JG8" i="4"/>
  <c r="IW8" i="4"/>
  <c r="HS8" i="4"/>
  <c r="HQ8" i="4"/>
  <c r="HA8" i="4"/>
  <c r="GV8" i="4"/>
  <c r="GZ8" i="4" s="1"/>
  <c r="IS8" i="4" s="1"/>
  <c r="IV8" i="4" s="1"/>
  <c r="GQ8" i="4"/>
  <c r="GG8" i="4"/>
  <c r="FI8" i="4"/>
  <c r="EN8" i="4"/>
  <c r="DW8" i="4"/>
  <c r="DH8" i="4"/>
  <c r="CI8" i="4"/>
  <c r="BL8" i="4"/>
  <c r="AT8" i="4"/>
  <c r="AQ8" i="4"/>
  <c r="AS8" i="4" s="1"/>
  <c r="V8" i="4"/>
  <c r="O8" i="4"/>
  <c r="M8" i="4"/>
  <c r="J8" i="4"/>
  <c r="JI7" i="4"/>
  <c r="JG7" i="4"/>
  <c r="HS7" i="4"/>
  <c r="HQ7" i="4"/>
  <c r="GV7" i="4"/>
  <c r="GZ7" i="4" s="1"/>
  <c r="GQ7" i="4"/>
  <c r="GG7" i="4"/>
  <c r="FI7" i="4"/>
  <c r="EN7" i="4"/>
  <c r="EG7" i="4"/>
  <c r="DW7" i="4"/>
  <c r="DH7" i="4"/>
  <c r="DC7" i="4"/>
  <c r="CI7" i="4"/>
  <c r="BL7" i="4"/>
  <c r="AT7" i="4"/>
  <c r="AQ7" i="4"/>
  <c r="AS7" i="4" s="1"/>
  <c r="V7" i="4"/>
  <c r="O7" i="4"/>
  <c r="M7" i="4"/>
  <c r="J7" i="4"/>
  <c r="JI6" i="4"/>
  <c r="JG6" i="4"/>
  <c r="HS6" i="4"/>
  <c r="HQ6" i="4"/>
  <c r="GV6" i="4"/>
  <c r="GZ6" i="4" s="1"/>
  <c r="GQ6" i="4"/>
  <c r="GG6" i="4"/>
  <c r="FI6" i="4"/>
  <c r="FH6" i="4"/>
  <c r="FH7" i="4" s="1"/>
  <c r="FH8" i="4" s="1"/>
  <c r="FH9" i="4" s="1"/>
  <c r="FH10" i="4" s="1"/>
  <c r="FH11" i="4" s="1"/>
  <c r="FH12" i="4" s="1"/>
  <c r="FH13" i="4" s="1"/>
  <c r="FH14" i="4" s="1"/>
  <c r="FH15" i="4" s="1"/>
  <c r="FH16" i="4" s="1"/>
  <c r="FH17" i="4" s="1"/>
  <c r="FH18" i="4" s="1"/>
  <c r="FH19" i="4" s="1"/>
  <c r="FH20" i="4" s="1"/>
  <c r="FH21" i="4" s="1"/>
  <c r="FH22" i="4" s="1"/>
  <c r="FH23" i="4" s="1"/>
  <c r="FH24" i="4" s="1"/>
  <c r="FH25" i="4" s="1"/>
  <c r="FH26" i="4" s="1"/>
  <c r="FH27" i="4" s="1"/>
  <c r="FH28" i="4" s="1"/>
  <c r="EN6" i="4"/>
  <c r="EM6" i="4"/>
  <c r="EM7" i="4" s="1"/>
  <c r="EM8" i="4" s="1"/>
  <c r="EM9" i="4" s="1"/>
  <c r="EM10" i="4" s="1"/>
  <c r="EM11" i="4" s="1"/>
  <c r="EM12" i="4" s="1"/>
  <c r="EM13" i="4" s="1"/>
  <c r="EM14" i="4" s="1"/>
  <c r="EM15" i="4" s="1"/>
  <c r="EM16" i="4" s="1"/>
  <c r="EM17" i="4" s="1"/>
  <c r="EM18" i="4" s="1"/>
  <c r="EM19" i="4" s="1"/>
  <c r="EM20" i="4" s="1"/>
  <c r="EM21" i="4" s="1"/>
  <c r="EM22" i="4" s="1"/>
  <c r="EM23" i="4" s="1"/>
  <c r="EM24" i="4" s="1"/>
  <c r="EM25" i="4" s="1"/>
  <c r="EM26" i="4" s="1"/>
  <c r="EM27" i="4" s="1"/>
  <c r="EM28" i="4" s="1"/>
  <c r="EH6" i="4"/>
  <c r="DW6" i="4"/>
  <c r="DV6" i="4"/>
  <c r="DV7" i="4" s="1"/>
  <c r="DV8" i="4" s="1"/>
  <c r="DV9" i="4" s="1"/>
  <c r="DV10" i="4" s="1"/>
  <c r="DV11" i="4" s="1"/>
  <c r="DV12" i="4" s="1"/>
  <c r="DV13" i="4" s="1"/>
  <c r="DV14" i="4" s="1"/>
  <c r="DV15" i="4" s="1"/>
  <c r="DV16" i="4" s="1"/>
  <c r="DV17" i="4" s="1"/>
  <c r="DV18" i="4" s="1"/>
  <c r="DV19" i="4" s="1"/>
  <c r="DV20" i="4" s="1"/>
  <c r="DV21" i="4" s="1"/>
  <c r="DV22" i="4" s="1"/>
  <c r="DV23" i="4" s="1"/>
  <c r="DV24" i="4" s="1"/>
  <c r="DV25" i="4" s="1"/>
  <c r="DV26" i="4" s="1"/>
  <c r="DV27" i="4" s="1"/>
  <c r="DV28" i="4" s="1"/>
  <c r="DH6" i="4"/>
  <c r="DG6" i="4"/>
  <c r="DG7" i="4" s="1"/>
  <c r="DG8" i="4" s="1"/>
  <c r="DG9" i="4" s="1"/>
  <c r="DG10" i="4" s="1"/>
  <c r="DG11" i="4" s="1"/>
  <c r="DG12" i="4" s="1"/>
  <c r="DG13" i="4" s="1"/>
  <c r="DG14" i="4" s="1"/>
  <c r="DG15" i="4" s="1"/>
  <c r="DG16" i="4" s="1"/>
  <c r="DG17" i="4" s="1"/>
  <c r="DG18" i="4" s="1"/>
  <c r="DG19" i="4" s="1"/>
  <c r="DG20" i="4" s="1"/>
  <c r="DG21" i="4" s="1"/>
  <c r="DG22" i="4" s="1"/>
  <c r="DG23" i="4" s="1"/>
  <c r="DG24" i="4" s="1"/>
  <c r="DG25" i="4" s="1"/>
  <c r="DG26" i="4" s="1"/>
  <c r="DG27" i="4" s="1"/>
  <c r="DG28" i="4" s="1"/>
  <c r="DB6" i="4"/>
  <c r="DB7" i="4" s="1"/>
  <c r="DO28" i="4" s="1"/>
  <c r="DA6" i="4"/>
  <c r="DA7" i="4" s="1"/>
  <c r="DM28" i="4" s="1"/>
  <c r="CZ6" i="4"/>
  <c r="CZ7" i="4" s="1"/>
  <c r="DK28" i="4" s="1"/>
  <c r="CI6" i="4"/>
  <c r="CH6" i="4"/>
  <c r="CH7" i="4" s="1"/>
  <c r="CH8" i="4" s="1"/>
  <c r="CH9" i="4" s="1"/>
  <c r="CH10" i="4" s="1"/>
  <c r="CH11" i="4" s="1"/>
  <c r="CH12" i="4" s="1"/>
  <c r="CH13" i="4" s="1"/>
  <c r="CH14" i="4" s="1"/>
  <c r="CH15" i="4" s="1"/>
  <c r="CH16" i="4" s="1"/>
  <c r="CH17" i="4" s="1"/>
  <c r="CH18" i="4" s="1"/>
  <c r="CH19" i="4" s="1"/>
  <c r="CH20" i="4" s="1"/>
  <c r="CH21" i="4" s="1"/>
  <c r="CH22" i="4" s="1"/>
  <c r="CH23" i="4" s="1"/>
  <c r="CH24" i="4" s="1"/>
  <c r="CH25" i="4" s="1"/>
  <c r="CH26" i="4" s="1"/>
  <c r="CH27" i="4" s="1"/>
  <c r="CH28" i="4" s="1"/>
  <c r="BW6" i="4"/>
  <c r="BW7" i="4" s="1"/>
  <c r="BW8" i="4" s="1"/>
  <c r="BL6" i="4"/>
  <c r="BK6" i="4"/>
  <c r="BK7" i="4" s="1"/>
  <c r="BK8" i="4" s="1"/>
  <c r="BK9" i="4" s="1"/>
  <c r="BK10" i="4" s="1"/>
  <c r="BK11" i="4" s="1"/>
  <c r="BK12" i="4" s="1"/>
  <c r="BK13" i="4" s="1"/>
  <c r="BK14" i="4" s="1"/>
  <c r="BK15" i="4" s="1"/>
  <c r="BK16" i="4" s="1"/>
  <c r="BK17" i="4" s="1"/>
  <c r="BK18" i="4" s="1"/>
  <c r="BK19" i="4" s="1"/>
  <c r="BK20" i="4" s="1"/>
  <c r="BK21" i="4" s="1"/>
  <c r="BK22" i="4" s="1"/>
  <c r="BK23" i="4" s="1"/>
  <c r="BK24" i="4" s="1"/>
  <c r="BK25" i="4" s="1"/>
  <c r="BK26" i="4" s="1"/>
  <c r="BK27" i="4" s="1"/>
  <c r="BK28" i="4" s="1"/>
  <c r="BF6" i="4"/>
  <c r="AT6" i="4"/>
  <c r="AQ6" i="4"/>
  <c r="AP6" i="4"/>
  <c r="AP7" i="4" s="1"/>
  <c r="AP8" i="4" s="1"/>
  <c r="AP9" i="4" s="1"/>
  <c r="AP10" i="4" s="1"/>
  <c r="AP11" i="4" s="1"/>
  <c r="AP12" i="4" s="1"/>
  <c r="AP13" i="4" s="1"/>
  <c r="AP14" i="4" s="1"/>
  <c r="AP15" i="4" s="1"/>
  <c r="AP16" i="4" s="1"/>
  <c r="AP17" i="4" s="1"/>
  <c r="AP18" i="4" s="1"/>
  <c r="AP19" i="4" s="1"/>
  <c r="AP20" i="4" s="1"/>
  <c r="AP21" i="4" s="1"/>
  <c r="AP22" i="4" s="1"/>
  <c r="AP23" i="4" s="1"/>
  <c r="AP24" i="4" s="1"/>
  <c r="AP25" i="4" s="1"/>
  <c r="AP26" i="4" s="1"/>
  <c r="AP27" i="4" s="1"/>
  <c r="AP28" i="4" s="1"/>
  <c r="AJ6" i="4"/>
  <c r="AJ7" i="4" s="1"/>
  <c r="AC6" i="4"/>
  <c r="AC7" i="4" s="1"/>
  <c r="AC8" i="4" s="1"/>
  <c r="AC9" i="4" s="1"/>
  <c r="AC10" i="4" s="1"/>
  <c r="AC11" i="4" s="1"/>
  <c r="AC12" i="4" s="1"/>
  <c r="AC13" i="4" s="1"/>
  <c r="AC14" i="4" s="1"/>
  <c r="AC15" i="4" s="1"/>
  <c r="AC16" i="4" s="1"/>
  <c r="AC17" i="4" s="1"/>
  <c r="AC18" i="4" s="1"/>
  <c r="AC19" i="4" s="1"/>
  <c r="AC20" i="4" s="1"/>
  <c r="AC21" i="4" s="1"/>
  <c r="AC22" i="4" s="1"/>
  <c r="AC23" i="4" s="1"/>
  <c r="AC24" i="4" s="1"/>
  <c r="AC25" i="4" s="1"/>
  <c r="AC26" i="4" s="1"/>
  <c r="AC27" i="4" s="1"/>
  <c r="V6" i="4"/>
  <c r="U6" i="4"/>
  <c r="U7" i="4" s="1"/>
  <c r="U8" i="4" s="1"/>
  <c r="U9" i="4" s="1"/>
  <c r="U10" i="4" s="1"/>
  <c r="U11" i="4" s="1"/>
  <c r="U12" i="4" s="1"/>
  <c r="U13" i="4" s="1"/>
  <c r="U14" i="4" s="1"/>
  <c r="U15" i="4" s="1"/>
  <c r="U16" i="4" s="1"/>
  <c r="U17" i="4" s="1"/>
  <c r="U18" i="4" s="1"/>
  <c r="U19" i="4" s="1"/>
  <c r="U20" i="4" s="1"/>
  <c r="U21" i="4" s="1"/>
  <c r="U22" i="4" s="1"/>
  <c r="U23" i="4" s="1"/>
  <c r="U24" i="4" s="1"/>
  <c r="U25" i="4" s="1"/>
  <c r="U26" i="4" s="1"/>
  <c r="U27" i="4" s="1"/>
  <c r="U28" i="4" s="1"/>
  <c r="O6" i="4"/>
  <c r="M6" i="4"/>
  <c r="J6" i="4"/>
  <c r="I6" i="4"/>
  <c r="I7" i="4" s="1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JI5" i="4"/>
  <c r="JG5" i="4"/>
  <c r="JF5" i="4"/>
  <c r="JF6" i="4" s="1"/>
  <c r="JF7" i="4" s="1"/>
  <c r="JF8" i="4" s="1"/>
  <c r="JF9" i="4" s="1"/>
  <c r="JF10" i="4" s="1"/>
  <c r="JF11" i="4" s="1"/>
  <c r="JF12" i="4" s="1"/>
  <c r="JF13" i="4" s="1"/>
  <c r="JF14" i="4" s="1"/>
  <c r="JF15" i="4" s="1"/>
  <c r="JF16" i="4" s="1"/>
  <c r="JF17" i="4" s="1"/>
  <c r="JF18" i="4" s="1"/>
  <c r="JF19" i="4" s="1"/>
  <c r="JF20" i="4" s="1"/>
  <c r="JF21" i="4" s="1"/>
  <c r="JF22" i="4" s="1"/>
  <c r="JF23" i="4" s="1"/>
  <c r="JF24" i="4" s="1"/>
  <c r="JF25" i="4" s="1"/>
  <c r="JF26" i="4" s="1"/>
  <c r="JF27" i="4" s="1"/>
  <c r="HS5" i="4"/>
  <c r="JX26" i="3" s="1"/>
  <c r="HQ5" i="4"/>
  <c r="HP5" i="4"/>
  <c r="HP6" i="4" s="1"/>
  <c r="HP7" i="4" s="1"/>
  <c r="HP8" i="4" s="1"/>
  <c r="HP9" i="4" s="1"/>
  <c r="HP10" i="4" s="1"/>
  <c r="HP11" i="4" s="1"/>
  <c r="HP12" i="4" s="1"/>
  <c r="HP13" i="4" s="1"/>
  <c r="HP14" i="4" s="1"/>
  <c r="HP15" i="4" s="1"/>
  <c r="HP16" i="4" s="1"/>
  <c r="HP17" i="4" s="1"/>
  <c r="HP18" i="4" s="1"/>
  <c r="HP19" i="4" s="1"/>
  <c r="HP20" i="4" s="1"/>
  <c r="HP21" i="4" s="1"/>
  <c r="HP22" i="4" s="1"/>
  <c r="HP23" i="4" s="1"/>
  <c r="HP24" i="4" s="1"/>
  <c r="HP25" i="4" s="1"/>
  <c r="HP26" i="4" s="1"/>
  <c r="HP27" i="4" s="1"/>
  <c r="GV5" i="4"/>
  <c r="GZ5" i="4" s="1"/>
  <c r="GU5" i="4"/>
  <c r="GU6" i="4" s="1"/>
  <c r="GU7" i="4" s="1"/>
  <c r="GU8" i="4" s="1"/>
  <c r="GU9" i="4" s="1"/>
  <c r="GU10" i="4" s="1"/>
  <c r="GU11" i="4" s="1"/>
  <c r="GU12" i="4" s="1"/>
  <c r="GU13" i="4" s="1"/>
  <c r="GU14" i="4" s="1"/>
  <c r="GU15" i="4" s="1"/>
  <c r="GU16" i="4" s="1"/>
  <c r="GU17" i="4" s="1"/>
  <c r="GU18" i="4" s="1"/>
  <c r="GU19" i="4" s="1"/>
  <c r="GU20" i="4" s="1"/>
  <c r="GU21" i="4" s="1"/>
  <c r="GU22" i="4" s="1"/>
  <c r="GU23" i="4" s="1"/>
  <c r="GU24" i="4" s="1"/>
  <c r="GU25" i="4" s="1"/>
  <c r="GU26" i="4" s="1"/>
  <c r="GU27" i="4" s="1"/>
  <c r="GQ5" i="4"/>
  <c r="GG5" i="4"/>
  <c r="GF5" i="4"/>
  <c r="GF6" i="4" s="1"/>
  <c r="GF7" i="4" s="1"/>
  <c r="GF8" i="4" s="1"/>
  <c r="GF9" i="4" s="1"/>
  <c r="GF10" i="4" s="1"/>
  <c r="GF11" i="4" s="1"/>
  <c r="GF12" i="4" s="1"/>
  <c r="GF13" i="4" s="1"/>
  <c r="GF14" i="4" s="1"/>
  <c r="GF15" i="4" s="1"/>
  <c r="GF16" i="4" s="1"/>
  <c r="GF17" i="4" s="1"/>
  <c r="GF18" i="4" s="1"/>
  <c r="GF19" i="4" s="1"/>
  <c r="GF20" i="4" s="1"/>
  <c r="GF21" i="4" s="1"/>
  <c r="GF22" i="4" s="1"/>
  <c r="GF23" i="4" s="1"/>
  <c r="GF24" i="4" s="1"/>
  <c r="GF25" i="4" s="1"/>
  <c r="GF26" i="4" s="1"/>
  <c r="GF27" i="4" s="1"/>
  <c r="FQ5" i="4"/>
  <c r="FI5" i="4"/>
  <c r="FH5" i="4"/>
  <c r="EN5" i="4"/>
  <c r="EM5" i="4"/>
  <c r="DV5" i="4"/>
  <c r="DH5" i="4"/>
  <c r="DG5" i="4"/>
  <c r="DB5" i="4"/>
  <c r="DA5" i="4"/>
  <c r="CZ5" i="4"/>
  <c r="CU5" i="4"/>
  <c r="CI5" i="4"/>
  <c r="CH5" i="4"/>
  <c r="BW5" i="4"/>
  <c r="BL5" i="4"/>
  <c r="BK5" i="4"/>
  <c r="AT5" i="4"/>
  <c r="AQ5" i="4"/>
  <c r="AS5" i="4" s="1"/>
  <c r="AP5" i="4"/>
  <c r="AJ5" i="4"/>
  <c r="AC5" i="4"/>
  <c r="V5" i="4"/>
  <c r="U5" i="4"/>
  <c r="O5" i="4"/>
  <c r="J5" i="4"/>
  <c r="I5" i="4"/>
  <c r="JI4" i="4"/>
  <c r="JG4" i="4"/>
  <c r="HS4" i="4"/>
  <c r="HQ4" i="4"/>
  <c r="GV4" i="4"/>
  <c r="GZ4" i="4" s="1"/>
  <c r="GQ4" i="4"/>
  <c r="GQ28" i="4" s="1"/>
  <c r="GG4" i="4"/>
  <c r="FI4" i="4"/>
  <c r="EN4" i="4"/>
  <c r="DW4" i="4"/>
  <c r="DH4" i="4"/>
  <c r="DB4" i="4"/>
  <c r="DA4" i="4"/>
  <c r="CZ4" i="4"/>
  <c r="CI4" i="4"/>
  <c r="BL4" i="4"/>
  <c r="BE4" i="4"/>
  <c r="AT4" i="4"/>
  <c r="AQ4" i="4"/>
  <c r="V4" i="4"/>
  <c r="O4" i="4"/>
  <c r="M4" i="4"/>
  <c r="J4" i="4"/>
  <c r="CK14" i="4" s="1"/>
  <c r="JH2" i="4"/>
  <c r="HR2" i="4"/>
  <c r="FK2" i="4"/>
  <c r="DB2" i="4"/>
  <c r="DA2" i="4"/>
  <c r="CZ2" i="4"/>
  <c r="BP2" i="4"/>
  <c r="BN2" i="4"/>
  <c r="ML35" i="3"/>
  <c r="FO35" i="3"/>
  <c r="FN35" i="3"/>
  <c r="FM35" i="3"/>
  <c r="FP35" i="3" s="1"/>
  <c r="ML34" i="3"/>
  <c r="MC34" i="3"/>
  <c r="FP34" i="3"/>
  <c r="FP33" i="3"/>
  <c r="ML32" i="3"/>
  <c r="ML31" i="3"/>
  <c r="FO31" i="3"/>
  <c r="FN31" i="3"/>
  <c r="FM31" i="3"/>
  <c r="FP31" i="3" s="1"/>
  <c r="FP30" i="3"/>
  <c r="ME29" i="3"/>
  <c r="FP29" i="3"/>
  <c r="KR28" i="3"/>
  <c r="FP28" i="3"/>
  <c r="MO27" i="3"/>
  <c r="MP27" i="3" s="1"/>
  <c r="MF27" i="3"/>
  <c r="MG27" i="3" s="1"/>
  <c r="FP27" i="3"/>
  <c r="MN26" i="3"/>
  <c r="MO26" i="3" s="1"/>
  <c r="MP26" i="3" s="1"/>
  <c r="MF26" i="3"/>
  <c r="MG26" i="3" s="1"/>
  <c r="KB26" i="3"/>
  <c r="KB27" i="3" s="1"/>
  <c r="JS26" i="3"/>
  <c r="JI26" i="3"/>
  <c r="IV26" i="3"/>
  <c r="IT26" i="3"/>
  <c r="IR26" i="3"/>
  <c r="IP26" i="3"/>
  <c r="IO26" i="3"/>
  <c r="IO27" i="3" s="1"/>
  <c r="IN26" i="3"/>
  <c r="IL26" i="3"/>
  <c r="IJ26" i="3"/>
  <c r="IH26" i="3"/>
  <c r="IX26" i="3" s="1"/>
  <c r="HX26" i="3"/>
  <c r="HX27" i="3" s="1"/>
  <c r="HW26" i="3"/>
  <c r="HV26" i="3"/>
  <c r="HV27" i="3" s="1"/>
  <c r="HU26" i="3"/>
  <c r="HT26" i="3"/>
  <c r="HS26" i="3"/>
  <c r="HQ26" i="3"/>
  <c r="HY26" i="3" s="1"/>
  <c r="HE26" i="3"/>
  <c r="HD26" i="3"/>
  <c r="HC26" i="3"/>
  <c r="HF26" i="3" s="1"/>
  <c r="IF26" i="3" s="1"/>
  <c r="HB26" i="3"/>
  <c r="FP26" i="3"/>
  <c r="ML25" i="3"/>
  <c r="KB25" i="3"/>
  <c r="KA25" i="3"/>
  <c r="JY25" i="3"/>
  <c r="JW25" i="3"/>
  <c r="JS25" i="3"/>
  <c r="JH25" i="3"/>
  <c r="JF25" i="3"/>
  <c r="JG25" i="3" s="1"/>
  <c r="JJ25" i="3" s="1"/>
  <c r="KJ26" i="3" s="1"/>
  <c r="KS26" i="3" s="1"/>
  <c r="IX25" i="3"/>
  <c r="LL25" i="3" s="1"/>
  <c r="HY25" i="3"/>
  <c r="LI25" i="3" s="1"/>
  <c r="LO25" i="3" s="1"/>
  <c r="HG25" i="3"/>
  <c r="HF25" i="3"/>
  <c r="IF25" i="3" s="1"/>
  <c r="IM25" i="3" s="1"/>
  <c r="KQ26" i="3" s="1"/>
  <c r="H25" i="3"/>
  <c r="F25" i="3"/>
  <c r="ML24" i="3"/>
  <c r="KB24" i="3"/>
  <c r="KA24" i="3"/>
  <c r="JY24" i="3"/>
  <c r="JW24" i="3"/>
  <c r="JS24" i="3"/>
  <c r="JH24" i="3"/>
  <c r="JF24" i="3"/>
  <c r="JG24" i="3" s="1"/>
  <c r="JJ24" i="3" s="1"/>
  <c r="KJ25" i="3" s="1"/>
  <c r="KS25" i="3" s="1"/>
  <c r="IX24" i="3"/>
  <c r="LL24" i="3" s="1"/>
  <c r="HY24" i="3"/>
  <c r="LI24" i="3" s="1"/>
  <c r="LO24" i="3" s="1"/>
  <c r="HG24" i="3"/>
  <c r="HF24" i="3"/>
  <c r="IF24" i="3" s="1"/>
  <c r="IM24" i="3" s="1"/>
  <c r="KQ25" i="3" s="1"/>
  <c r="FO24" i="3"/>
  <c r="FN24" i="3"/>
  <c r="FM24" i="3"/>
  <c r="FP24" i="3" s="1"/>
  <c r="N24" i="3"/>
  <c r="K24" i="3"/>
  <c r="ML23" i="3"/>
  <c r="KB23" i="3"/>
  <c r="KA23" i="3"/>
  <c r="JY23" i="3"/>
  <c r="JW23" i="3"/>
  <c r="JS23" i="3"/>
  <c r="JH23" i="3"/>
  <c r="JF23" i="3"/>
  <c r="JG23" i="3" s="1"/>
  <c r="JJ23" i="3" s="1"/>
  <c r="KJ24" i="3" s="1"/>
  <c r="KS24" i="3" s="1"/>
  <c r="IX23" i="3"/>
  <c r="LL23" i="3" s="1"/>
  <c r="HY23" i="3"/>
  <c r="LI23" i="3" s="1"/>
  <c r="LO23" i="3" s="1"/>
  <c r="HG23" i="3"/>
  <c r="HF23" i="3"/>
  <c r="IF23" i="3" s="1"/>
  <c r="IM23" i="3" s="1"/>
  <c r="KQ24" i="3" s="1"/>
  <c r="FP23" i="3"/>
  <c r="CF23" i="3"/>
  <c r="CI23" i="3" s="1"/>
  <c r="CJ23" i="3" s="1"/>
  <c r="KB22" i="3"/>
  <c r="KA22" i="3"/>
  <c r="JY22" i="3"/>
  <c r="JW22" i="3"/>
  <c r="JS22" i="3"/>
  <c r="JH22" i="3"/>
  <c r="JF22" i="3"/>
  <c r="JG22" i="3" s="1"/>
  <c r="JJ22" i="3" s="1"/>
  <c r="KJ23" i="3" s="1"/>
  <c r="KS23" i="3" s="1"/>
  <c r="IX22" i="3"/>
  <c r="LL22" i="3" s="1"/>
  <c r="HY22" i="3"/>
  <c r="LI22" i="3" s="1"/>
  <c r="LO22" i="3" s="1"/>
  <c r="HG22" i="3"/>
  <c r="HF22" i="3"/>
  <c r="IF22" i="3" s="1"/>
  <c r="IM22" i="3" s="1"/>
  <c r="KQ23" i="3" s="1"/>
  <c r="FP22" i="3"/>
  <c r="ML21" i="3"/>
  <c r="KB21" i="3"/>
  <c r="KA21" i="3"/>
  <c r="JY21" i="3"/>
  <c r="JW21" i="3"/>
  <c r="JS21" i="3"/>
  <c r="JH21" i="3"/>
  <c r="JF21" i="3"/>
  <c r="JG21" i="3" s="1"/>
  <c r="JJ21" i="3" s="1"/>
  <c r="KJ22" i="3" s="1"/>
  <c r="KS22" i="3" s="1"/>
  <c r="IX21" i="3"/>
  <c r="LL21" i="3" s="1"/>
  <c r="HY21" i="3"/>
  <c r="LI21" i="3" s="1"/>
  <c r="LO21" i="3" s="1"/>
  <c r="HG21" i="3"/>
  <c r="HF21" i="3"/>
  <c r="IF21" i="3" s="1"/>
  <c r="IM21" i="3" s="1"/>
  <c r="KQ22" i="3" s="1"/>
  <c r="ML20" i="3"/>
  <c r="KB20" i="3"/>
  <c r="KA20" i="3"/>
  <c r="JY20" i="3"/>
  <c r="JW20" i="3"/>
  <c r="JS20" i="3"/>
  <c r="JH20" i="3"/>
  <c r="JF20" i="3"/>
  <c r="JG20" i="3" s="1"/>
  <c r="JJ20" i="3" s="1"/>
  <c r="KJ21" i="3" s="1"/>
  <c r="KS21" i="3" s="1"/>
  <c r="IX20" i="3"/>
  <c r="LL20" i="3" s="1"/>
  <c r="HY20" i="3"/>
  <c r="LI20" i="3" s="1"/>
  <c r="LO20" i="3" s="1"/>
  <c r="HG20" i="3"/>
  <c r="HF20" i="3"/>
  <c r="IF20" i="3" s="1"/>
  <c r="IM20" i="3" s="1"/>
  <c r="KQ21" i="3" s="1"/>
  <c r="FO20" i="3"/>
  <c r="FO36" i="3" s="1"/>
  <c r="FN20" i="3"/>
  <c r="FN36" i="3" s="1"/>
  <c r="FM20" i="3"/>
  <c r="CE20" i="3"/>
  <c r="CB20" i="3"/>
  <c r="BY20" i="3"/>
  <c r="BV20" i="3"/>
  <c r="BR20" i="3"/>
  <c r="BN20" i="3"/>
  <c r="BJ20" i="3"/>
  <c r="BF20" i="3"/>
  <c r="BB20" i="3"/>
  <c r="AX20" i="3"/>
  <c r="H20" i="3"/>
  <c r="ML19" i="3"/>
  <c r="KB19" i="3"/>
  <c r="KA19" i="3"/>
  <c r="JY19" i="3"/>
  <c r="JW19" i="3"/>
  <c r="JS19" i="3"/>
  <c r="JH19" i="3"/>
  <c r="JF19" i="3"/>
  <c r="JG19" i="3" s="1"/>
  <c r="JJ19" i="3" s="1"/>
  <c r="KJ20" i="3" s="1"/>
  <c r="KS20" i="3" s="1"/>
  <c r="IX19" i="3"/>
  <c r="LL19" i="3" s="1"/>
  <c r="HY19" i="3"/>
  <c r="LI19" i="3" s="1"/>
  <c r="LO19" i="3" s="1"/>
  <c r="HG19" i="3"/>
  <c r="HF19" i="3"/>
  <c r="IF19" i="3" s="1"/>
  <c r="IM19" i="3" s="1"/>
  <c r="KQ20" i="3" s="1"/>
  <c r="FP19" i="3"/>
  <c r="CE19" i="3"/>
  <c r="CB19" i="3"/>
  <c r="BY19" i="3"/>
  <c r="BV19" i="3"/>
  <c r="BR19" i="3"/>
  <c r="BN19" i="3"/>
  <c r="BJ19" i="3"/>
  <c r="BF19" i="3"/>
  <c r="BB19" i="3"/>
  <c r="AX19" i="3"/>
  <c r="ML18" i="3"/>
  <c r="KB18" i="3"/>
  <c r="KA18" i="3"/>
  <c r="JY18" i="3"/>
  <c r="JW18" i="3"/>
  <c r="JS18" i="3"/>
  <c r="JH18" i="3"/>
  <c r="JF18" i="3"/>
  <c r="JG18" i="3" s="1"/>
  <c r="JJ18" i="3" s="1"/>
  <c r="KJ19" i="3" s="1"/>
  <c r="KS19" i="3" s="1"/>
  <c r="IX18" i="3"/>
  <c r="LL18" i="3" s="1"/>
  <c r="HY18" i="3"/>
  <c r="LI18" i="3" s="1"/>
  <c r="LO18" i="3" s="1"/>
  <c r="HG18" i="3"/>
  <c r="HF18" i="3"/>
  <c r="IF18" i="3" s="1"/>
  <c r="IM18" i="3" s="1"/>
  <c r="KQ19" i="3" s="1"/>
  <c r="FP18" i="3"/>
  <c r="CE18" i="3"/>
  <c r="CB18" i="3"/>
  <c r="BY18" i="3"/>
  <c r="BV18" i="3"/>
  <c r="BR18" i="3"/>
  <c r="BN18" i="3"/>
  <c r="BJ18" i="3"/>
  <c r="BF18" i="3"/>
  <c r="BB18" i="3"/>
  <c r="AX18" i="3"/>
  <c r="ML17" i="3"/>
  <c r="KB17" i="3"/>
  <c r="KA17" i="3"/>
  <c r="JY17" i="3"/>
  <c r="JW17" i="3"/>
  <c r="JS17" i="3"/>
  <c r="JH17" i="3"/>
  <c r="JF17" i="3"/>
  <c r="JG17" i="3" s="1"/>
  <c r="JJ17" i="3" s="1"/>
  <c r="KJ18" i="3" s="1"/>
  <c r="KS18" i="3" s="1"/>
  <c r="IX17" i="3"/>
  <c r="LL17" i="3" s="1"/>
  <c r="HY17" i="3"/>
  <c r="LI17" i="3" s="1"/>
  <c r="LO17" i="3" s="1"/>
  <c r="HG17" i="3"/>
  <c r="HF17" i="3"/>
  <c r="IF17" i="3" s="1"/>
  <c r="IM17" i="3" s="1"/>
  <c r="KQ18" i="3" s="1"/>
  <c r="FP17" i="3"/>
  <c r="CE17" i="3"/>
  <c r="CB17" i="3"/>
  <c r="BY17" i="3"/>
  <c r="BV17" i="3"/>
  <c r="BR17" i="3"/>
  <c r="BN17" i="3"/>
  <c r="BJ17" i="3"/>
  <c r="BF17" i="3"/>
  <c r="BB17" i="3"/>
  <c r="AX17" i="3"/>
  <c r="K17" i="3"/>
  <c r="ML16" i="3"/>
  <c r="KB16" i="3"/>
  <c r="KA16" i="3"/>
  <c r="JY16" i="3"/>
  <c r="JW16" i="3"/>
  <c r="JS16" i="3"/>
  <c r="JH16" i="3"/>
  <c r="JF16" i="3"/>
  <c r="JG16" i="3" s="1"/>
  <c r="JJ16" i="3" s="1"/>
  <c r="KJ17" i="3" s="1"/>
  <c r="KS17" i="3" s="1"/>
  <c r="IX16" i="3"/>
  <c r="LL16" i="3" s="1"/>
  <c r="HY16" i="3"/>
  <c r="LI16" i="3" s="1"/>
  <c r="LO16" i="3" s="1"/>
  <c r="HG16" i="3"/>
  <c r="HF16" i="3"/>
  <c r="IF16" i="3" s="1"/>
  <c r="IM16" i="3" s="1"/>
  <c r="KQ17" i="3" s="1"/>
  <c r="FP16" i="3"/>
  <c r="CE16" i="3"/>
  <c r="CB16" i="3"/>
  <c r="BY16" i="3"/>
  <c r="BV16" i="3"/>
  <c r="BR16" i="3"/>
  <c r="BN16" i="3"/>
  <c r="BJ16" i="3"/>
  <c r="BF16" i="3"/>
  <c r="BB16" i="3"/>
  <c r="AX16" i="3"/>
  <c r="AN16" i="3"/>
  <c r="AN17" i="3" s="1"/>
  <c r="AN18" i="3" s="1"/>
  <c r="AN19" i="3" s="1"/>
  <c r="AN20" i="3" s="1"/>
  <c r="ML15" i="3"/>
  <c r="KB15" i="3"/>
  <c r="KA15" i="3"/>
  <c r="JY15" i="3"/>
  <c r="JW15" i="3"/>
  <c r="JS15" i="3"/>
  <c r="JH15" i="3"/>
  <c r="JF15" i="3"/>
  <c r="JG15" i="3" s="1"/>
  <c r="JJ15" i="3" s="1"/>
  <c r="KJ16" i="3" s="1"/>
  <c r="KS16" i="3" s="1"/>
  <c r="IX15" i="3"/>
  <c r="LL15" i="3" s="1"/>
  <c r="HY15" i="3"/>
  <c r="LI15" i="3" s="1"/>
  <c r="LO15" i="3" s="1"/>
  <c r="HG15" i="3"/>
  <c r="HF15" i="3"/>
  <c r="IF15" i="3" s="1"/>
  <c r="IM15" i="3" s="1"/>
  <c r="KQ16" i="3" s="1"/>
  <c r="FP15" i="3"/>
  <c r="CE15" i="3"/>
  <c r="CB15" i="3"/>
  <c r="BY15" i="3"/>
  <c r="BV15" i="3"/>
  <c r="BR15" i="3"/>
  <c r="BN15" i="3"/>
  <c r="BJ15" i="3"/>
  <c r="BF15" i="3"/>
  <c r="BB15" i="3"/>
  <c r="AX15" i="3"/>
  <c r="ML14" i="3"/>
  <c r="KB14" i="3"/>
  <c r="KA14" i="3"/>
  <c r="JY14" i="3"/>
  <c r="JW14" i="3"/>
  <c r="JS14" i="3"/>
  <c r="JH14" i="3"/>
  <c r="JF14" i="3"/>
  <c r="JG14" i="3" s="1"/>
  <c r="JJ14" i="3" s="1"/>
  <c r="KJ15" i="3" s="1"/>
  <c r="KS15" i="3" s="1"/>
  <c r="IX14" i="3"/>
  <c r="LL14" i="3" s="1"/>
  <c r="HY14" i="3"/>
  <c r="LI14" i="3" s="1"/>
  <c r="LO14" i="3" s="1"/>
  <c r="HG14" i="3"/>
  <c r="HF14" i="3"/>
  <c r="IF14" i="3" s="1"/>
  <c r="IM14" i="3" s="1"/>
  <c r="KQ15" i="3" s="1"/>
  <c r="FP14" i="3"/>
  <c r="CE14" i="3"/>
  <c r="CB14" i="3"/>
  <c r="BY14" i="3"/>
  <c r="BV14" i="3"/>
  <c r="BR14" i="3"/>
  <c r="BN14" i="3"/>
  <c r="BJ14" i="3"/>
  <c r="BF14" i="3"/>
  <c r="BB14" i="3"/>
  <c r="AX14" i="3"/>
  <c r="ML13" i="3"/>
  <c r="KB13" i="3"/>
  <c r="KA13" i="3"/>
  <c r="JY13" i="3"/>
  <c r="JW13" i="3"/>
  <c r="JS13" i="3"/>
  <c r="JH13" i="3"/>
  <c r="JF13" i="3"/>
  <c r="JG13" i="3" s="1"/>
  <c r="JJ13" i="3" s="1"/>
  <c r="KJ14" i="3" s="1"/>
  <c r="KS14" i="3" s="1"/>
  <c r="IX13" i="3"/>
  <c r="LL13" i="3" s="1"/>
  <c r="HY13" i="3"/>
  <c r="LI13" i="3" s="1"/>
  <c r="LO13" i="3" s="1"/>
  <c r="HG13" i="3"/>
  <c r="HF13" i="3"/>
  <c r="IF13" i="3" s="1"/>
  <c r="IM13" i="3" s="1"/>
  <c r="KQ14" i="3" s="1"/>
  <c r="FP13" i="3"/>
  <c r="CE13" i="3"/>
  <c r="CB13" i="3"/>
  <c r="BY13" i="3"/>
  <c r="BV13" i="3"/>
  <c r="BR13" i="3"/>
  <c r="BN13" i="3"/>
  <c r="BJ13" i="3"/>
  <c r="BF13" i="3"/>
  <c r="BB13" i="3"/>
  <c r="AX13" i="3"/>
  <c r="ML12" i="3"/>
  <c r="KB12" i="3"/>
  <c r="KA12" i="3"/>
  <c r="JY12" i="3"/>
  <c r="JW12" i="3"/>
  <c r="JS12" i="3"/>
  <c r="JH12" i="3"/>
  <c r="JF12" i="3"/>
  <c r="JG12" i="3" s="1"/>
  <c r="JJ12" i="3" s="1"/>
  <c r="KJ13" i="3" s="1"/>
  <c r="KS13" i="3" s="1"/>
  <c r="IX12" i="3"/>
  <c r="LL12" i="3" s="1"/>
  <c r="IG12" i="3"/>
  <c r="HY12" i="3"/>
  <c r="LI12" i="3" s="1"/>
  <c r="LO12" i="3" s="1"/>
  <c r="HG12" i="3"/>
  <c r="HP12" i="3" s="1"/>
  <c r="HR12" i="3" s="1"/>
  <c r="HF12" i="3"/>
  <c r="IF12" i="3" s="1"/>
  <c r="IM12" i="3" s="1"/>
  <c r="KQ13" i="3" s="1"/>
  <c r="GG12" i="3"/>
  <c r="GF12" i="3"/>
  <c r="GE12" i="3"/>
  <c r="GC12" i="3"/>
  <c r="GB12" i="3"/>
  <c r="GA12" i="3"/>
  <c r="FP12" i="3"/>
  <c r="EC12" i="3"/>
  <c r="H17" i="3" s="1"/>
  <c r="EB12" i="3"/>
  <c r="EA12" i="3"/>
  <c r="DZ12" i="3"/>
  <c r="DY12" i="3"/>
  <c r="F17" i="3" s="1"/>
  <c r="DX12" i="3"/>
  <c r="DW12" i="3"/>
  <c r="DV12" i="3"/>
  <c r="Z12" i="3"/>
  <c r="Y12" i="3"/>
  <c r="X12" i="3"/>
  <c r="ML11" i="3"/>
  <c r="MC11" i="3"/>
  <c r="KB11" i="3"/>
  <c r="KA11" i="3"/>
  <c r="JY11" i="3"/>
  <c r="JW11" i="3"/>
  <c r="JS11" i="3"/>
  <c r="JH11" i="3"/>
  <c r="JF11" i="3"/>
  <c r="JG11" i="3" s="1"/>
  <c r="JJ11" i="3" s="1"/>
  <c r="KJ12" i="3" s="1"/>
  <c r="KS12" i="3" s="1"/>
  <c r="IX11" i="3"/>
  <c r="LL11" i="3" s="1"/>
  <c r="HY11" i="3"/>
  <c r="LI11" i="3" s="1"/>
  <c r="LO11" i="3" s="1"/>
  <c r="HG11" i="3"/>
  <c r="HF11" i="3"/>
  <c r="IF11" i="3" s="1"/>
  <c r="IM11" i="3" s="1"/>
  <c r="KQ12" i="3" s="1"/>
  <c r="GH11" i="3"/>
  <c r="GD11" i="3"/>
  <c r="FP11" i="3"/>
  <c r="CE11" i="3"/>
  <c r="CB11" i="3"/>
  <c r="BY11" i="3"/>
  <c r="BV11" i="3"/>
  <c r="BR11" i="3"/>
  <c r="BN11" i="3"/>
  <c r="BJ11" i="3"/>
  <c r="BF11" i="3"/>
  <c r="BB11" i="3"/>
  <c r="AX11" i="3"/>
  <c r="N11" i="3"/>
  <c r="M11" i="3"/>
  <c r="L11" i="3"/>
  <c r="J11" i="3"/>
  <c r="ML10" i="3"/>
  <c r="KB10" i="3"/>
  <c r="KA10" i="3"/>
  <c r="JY10" i="3"/>
  <c r="JW10" i="3"/>
  <c r="JS10" i="3"/>
  <c r="JH10" i="3"/>
  <c r="JF10" i="3"/>
  <c r="JG10" i="3" s="1"/>
  <c r="JJ10" i="3" s="1"/>
  <c r="KJ11" i="3" s="1"/>
  <c r="KS11" i="3" s="1"/>
  <c r="IX10" i="3"/>
  <c r="LL10" i="3" s="1"/>
  <c r="HY10" i="3"/>
  <c r="LI10" i="3" s="1"/>
  <c r="LO10" i="3" s="1"/>
  <c r="HP10" i="3"/>
  <c r="HR10" i="3" s="1"/>
  <c r="HG10" i="3"/>
  <c r="IG10" i="3" s="1"/>
  <c r="HF10" i="3"/>
  <c r="IF10" i="3" s="1"/>
  <c r="IM10" i="3" s="1"/>
  <c r="KQ11" i="3" s="1"/>
  <c r="GH10" i="3"/>
  <c r="GD10" i="3"/>
  <c r="FP10" i="3"/>
  <c r="CE10" i="3"/>
  <c r="CB10" i="3"/>
  <c r="BY10" i="3"/>
  <c r="BV10" i="3"/>
  <c r="BR10" i="3"/>
  <c r="BN10" i="3"/>
  <c r="BJ10" i="3"/>
  <c r="BF10" i="3"/>
  <c r="BB10" i="3"/>
  <c r="AX10" i="3"/>
  <c r="AA10" i="3"/>
  <c r="ML9" i="3"/>
  <c r="KB9" i="3"/>
  <c r="KA9" i="3"/>
  <c r="JY9" i="3"/>
  <c r="JW9" i="3"/>
  <c r="JS9" i="3"/>
  <c r="JH9" i="3"/>
  <c r="JF9" i="3"/>
  <c r="JG9" i="3" s="1"/>
  <c r="JJ9" i="3" s="1"/>
  <c r="KJ10" i="3" s="1"/>
  <c r="KS10" i="3" s="1"/>
  <c r="IX9" i="3"/>
  <c r="LL9" i="3" s="1"/>
  <c r="HY9" i="3"/>
  <c r="LI9" i="3" s="1"/>
  <c r="LO9" i="3" s="1"/>
  <c r="HG9" i="3"/>
  <c r="HF9" i="3"/>
  <c r="IF9" i="3" s="1"/>
  <c r="IM9" i="3" s="1"/>
  <c r="KQ10" i="3" s="1"/>
  <c r="GT9" i="3"/>
  <c r="GS9" i="3"/>
  <c r="GR9" i="3"/>
  <c r="GU9" i="3" s="1"/>
  <c r="GQ9" i="3"/>
  <c r="GP9" i="3"/>
  <c r="GO9" i="3"/>
  <c r="GN9" i="3"/>
  <c r="GH9" i="3"/>
  <c r="GD9" i="3"/>
  <c r="FP9" i="3"/>
  <c r="FF9" i="3"/>
  <c r="H19" i="3" s="1"/>
  <c r="FB9" i="3"/>
  <c r="FA9" i="3"/>
  <c r="EZ9" i="3"/>
  <c r="EX9" i="3"/>
  <c r="EW9" i="3"/>
  <c r="EV9" i="3"/>
  <c r="EO9" i="3"/>
  <c r="EN9" i="3"/>
  <c r="EM9" i="3"/>
  <c r="EK9" i="3"/>
  <c r="EJ9" i="3"/>
  <c r="EI9" i="3"/>
  <c r="DP9" i="3"/>
  <c r="H16" i="3" s="1"/>
  <c r="DO9" i="3"/>
  <c r="AJ11" i="3" s="1"/>
  <c r="DN9" i="3"/>
  <c r="F16" i="3" s="1"/>
  <c r="DM9" i="3"/>
  <c r="AJ7" i="3" s="1"/>
  <c r="DG9" i="3"/>
  <c r="H15" i="3" s="1"/>
  <c r="DF9" i="3"/>
  <c r="DE9" i="3"/>
  <c r="AI11" i="3" s="1"/>
  <c r="DD9" i="3"/>
  <c r="F15" i="3" s="1"/>
  <c r="DC9" i="3"/>
  <c r="AI7" i="3" s="1"/>
  <c r="CV9" i="3"/>
  <c r="CU9" i="3"/>
  <c r="CT9" i="3"/>
  <c r="AH11" i="3" s="1"/>
  <c r="CR9" i="3"/>
  <c r="CQ9" i="3"/>
  <c r="CP9" i="3"/>
  <c r="AH7" i="3" s="1"/>
  <c r="CE9" i="3"/>
  <c r="CB9" i="3"/>
  <c r="BY9" i="3"/>
  <c r="BV9" i="3"/>
  <c r="BR9" i="3"/>
  <c r="BN9" i="3"/>
  <c r="BJ9" i="3"/>
  <c r="BF9" i="3"/>
  <c r="BB9" i="3"/>
  <c r="AX9" i="3"/>
  <c r="AF9" i="3"/>
  <c r="AF10" i="3" s="1"/>
  <c r="AF11" i="3" s="1"/>
  <c r="AF12" i="3" s="1"/>
  <c r="AF13" i="3" s="1"/>
  <c r="AF14" i="3" s="1"/>
  <c r="AF15" i="3" s="1"/>
  <c r="AF16" i="3" s="1"/>
  <c r="AF17" i="3" s="1"/>
  <c r="AF18" i="3" s="1"/>
  <c r="AF19" i="3" s="1"/>
  <c r="AF20" i="3" s="1"/>
  <c r="AF21" i="3" s="1"/>
  <c r="K9" i="3"/>
  <c r="ML8" i="3"/>
  <c r="MK8" i="3"/>
  <c r="MK9" i="3" s="1"/>
  <c r="MK10" i="3" s="1"/>
  <c r="MK11" i="3" s="1"/>
  <c r="MK12" i="3" s="1"/>
  <c r="MK13" i="3" s="1"/>
  <c r="MK14" i="3" s="1"/>
  <c r="MK15" i="3" s="1"/>
  <c r="MK16" i="3" s="1"/>
  <c r="MK17" i="3" s="1"/>
  <c r="MK18" i="3" s="1"/>
  <c r="MK19" i="3" s="1"/>
  <c r="MK20" i="3" s="1"/>
  <c r="MK21" i="3" s="1"/>
  <c r="MK22" i="3" s="1"/>
  <c r="MK23" i="3" s="1"/>
  <c r="MK24" i="3" s="1"/>
  <c r="MK25" i="3" s="1"/>
  <c r="MK26" i="3" s="1"/>
  <c r="MK27" i="3" s="1"/>
  <c r="MK28" i="3" s="1"/>
  <c r="MK29" i="3" s="1"/>
  <c r="MK30" i="3" s="1"/>
  <c r="MK31" i="3" s="1"/>
  <c r="MK32" i="3" s="1"/>
  <c r="MK34" i="3" s="1"/>
  <c r="MK35" i="3" s="1"/>
  <c r="MA8" i="3"/>
  <c r="MA9" i="3" s="1"/>
  <c r="MA10" i="3" s="1"/>
  <c r="MA11" i="3" s="1"/>
  <c r="MA12" i="3" s="1"/>
  <c r="MA13" i="3" s="1"/>
  <c r="MA14" i="3" s="1"/>
  <c r="MA15" i="3" s="1"/>
  <c r="MA16" i="3" s="1"/>
  <c r="MA17" i="3" s="1"/>
  <c r="MA18" i="3" s="1"/>
  <c r="MA19" i="3" s="1"/>
  <c r="MA20" i="3" s="1"/>
  <c r="MA21" i="3" s="1"/>
  <c r="MA22" i="3" s="1"/>
  <c r="MA23" i="3" s="1"/>
  <c r="MA24" i="3" s="1"/>
  <c r="MA25" i="3" s="1"/>
  <c r="MA26" i="3" s="1"/>
  <c r="MA27" i="3" s="1"/>
  <c r="MA28" i="3" s="1"/>
  <c r="MA29" i="3" s="1"/>
  <c r="MA30" i="3" s="1"/>
  <c r="MA31" i="3" s="1"/>
  <c r="MA32" i="3" s="1"/>
  <c r="MA34" i="3" s="1"/>
  <c r="MA35" i="3" s="1"/>
  <c r="LU8" i="3"/>
  <c r="LU9" i="3" s="1"/>
  <c r="LU10" i="3" s="1"/>
  <c r="LU11" i="3" s="1"/>
  <c r="LU12" i="3" s="1"/>
  <c r="LU13" i="3" s="1"/>
  <c r="KH8" i="3"/>
  <c r="KH9" i="3" s="1"/>
  <c r="KH10" i="3" s="1"/>
  <c r="KH11" i="3" s="1"/>
  <c r="KH12" i="3" s="1"/>
  <c r="KH13" i="3" s="1"/>
  <c r="KH14" i="3" s="1"/>
  <c r="KH15" i="3" s="1"/>
  <c r="KH16" i="3" s="1"/>
  <c r="KH17" i="3" s="1"/>
  <c r="KH18" i="3" s="1"/>
  <c r="KH19" i="3" s="1"/>
  <c r="KH20" i="3" s="1"/>
  <c r="KH21" i="3" s="1"/>
  <c r="KH22" i="3" s="1"/>
  <c r="KH23" i="3" s="1"/>
  <c r="KH24" i="3" s="1"/>
  <c r="KH25" i="3" s="1"/>
  <c r="KH26" i="3" s="1"/>
  <c r="KH27" i="3" s="1"/>
  <c r="KH28" i="3" s="1"/>
  <c r="KB8" i="3"/>
  <c r="KA8" i="3"/>
  <c r="JY8" i="3"/>
  <c r="JW8" i="3"/>
  <c r="JS8" i="3"/>
  <c r="JH8" i="3"/>
  <c r="JF8" i="3"/>
  <c r="JJ8" i="3" s="1"/>
  <c r="KJ9" i="3" s="1"/>
  <c r="KS9" i="3" s="1"/>
  <c r="IX8" i="3"/>
  <c r="LL8" i="3" s="1"/>
  <c r="HY8" i="3"/>
  <c r="LI8" i="3" s="1"/>
  <c r="LO8" i="3" s="1"/>
  <c r="HG8" i="3"/>
  <c r="HF8" i="3"/>
  <c r="IF8" i="3" s="1"/>
  <c r="IM8" i="3" s="1"/>
  <c r="KQ9" i="3" s="1"/>
  <c r="GU8" i="3"/>
  <c r="H8" i="3" s="1"/>
  <c r="GQ8" i="3"/>
  <c r="F8" i="3" s="1"/>
  <c r="GH8" i="3"/>
  <c r="GD8" i="3"/>
  <c r="FP8" i="3"/>
  <c r="FJ8" i="3"/>
  <c r="FJ9" i="3" s="1"/>
  <c r="FJ10" i="3" s="1"/>
  <c r="FJ11" i="3" s="1"/>
  <c r="FJ12" i="3" s="1"/>
  <c r="FJ13" i="3" s="1"/>
  <c r="FJ14" i="3" s="1"/>
  <c r="FJ15" i="3" s="1"/>
  <c r="FJ16" i="3" s="1"/>
  <c r="FJ17" i="3" s="1"/>
  <c r="FJ18" i="3" s="1"/>
  <c r="FJ19" i="3" s="1"/>
  <c r="FJ20" i="3" s="1"/>
  <c r="FJ21" i="3" s="1"/>
  <c r="FJ22" i="3" s="1"/>
  <c r="FJ23" i="3" s="1"/>
  <c r="FJ24" i="3" s="1"/>
  <c r="FJ25" i="3" s="1"/>
  <c r="FJ26" i="3" s="1"/>
  <c r="FJ27" i="3" s="1"/>
  <c r="FJ28" i="3" s="1"/>
  <c r="FJ29" i="3" s="1"/>
  <c r="FJ30" i="3" s="1"/>
  <c r="FJ31" i="3" s="1"/>
  <c r="FJ32" i="3" s="1"/>
  <c r="FJ33" i="3" s="1"/>
  <c r="FJ34" i="3" s="1"/>
  <c r="FJ35" i="3" s="1"/>
  <c r="FJ36" i="3" s="1"/>
  <c r="FC8" i="3"/>
  <c r="EY8" i="3"/>
  <c r="EY9" i="3" s="1"/>
  <c r="F19" i="3" s="1"/>
  <c r="EP8" i="3"/>
  <c r="EP9" i="3" s="1"/>
  <c r="H18" i="3" s="1"/>
  <c r="EL8" i="3"/>
  <c r="EL9" i="3" s="1"/>
  <c r="F18" i="3" s="1"/>
  <c r="CW8" i="3"/>
  <c r="CW9" i="3" s="1"/>
  <c r="H14" i="3" s="1"/>
  <c r="CS8" i="3"/>
  <c r="CS9" i="3" s="1"/>
  <c r="F14" i="3" s="1"/>
  <c r="CE8" i="3"/>
  <c r="CB8" i="3"/>
  <c r="BY8" i="3"/>
  <c r="BV8" i="3"/>
  <c r="BR8" i="3"/>
  <c r="BN8" i="3"/>
  <c r="BJ8" i="3"/>
  <c r="BF8" i="3"/>
  <c r="BB8" i="3"/>
  <c r="AX8" i="3"/>
  <c r="AF8" i="3"/>
  <c r="K8" i="3"/>
  <c r="ML7" i="3"/>
  <c r="LU7" i="3"/>
  <c r="KH7" i="3"/>
  <c r="KB7" i="3"/>
  <c r="KA7" i="3"/>
  <c r="JY7" i="3"/>
  <c r="JW7" i="3"/>
  <c r="JS7" i="3"/>
  <c r="JH7" i="3"/>
  <c r="JF7" i="3"/>
  <c r="JG7" i="3" s="1"/>
  <c r="IX7" i="3"/>
  <c r="LL7" i="3" s="1"/>
  <c r="HY7" i="3"/>
  <c r="LI7" i="3" s="1"/>
  <c r="LO7" i="3" s="1"/>
  <c r="HG7" i="3"/>
  <c r="HF7" i="3"/>
  <c r="IF7" i="3" s="1"/>
  <c r="IM7" i="3" s="1"/>
  <c r="GU7" i="3"/>
  <c r="GQ7" i="3"/>
  <c r="GD7" i="3"/>
  <c r="FP7" i="3"/>
  <c r="FC7" i="3"/>
  <c r="EY7" i="3"/>
  <c r="EP7" i="3"/>
  <c r="EL7" i="3"/>
  <c r="CW7" i="3"/>
  <c r="CS7" i="3"/>
  <c r="CE7" i="3"/>
  <c r="CB7" i="3"/>
  <c r="BY7" i="3"/>
  <c r="BV7" i="3"/>
  <c r="BR7" i="3"/>
  <c r="BN7" i="3"/>
  <c r="BJ7" i="3"/>
  <c r="BF7" i="3"/>
  <c r="BB7" i="3"/>
  <c r="AX7" i="3"/>
  <c r="AA7" i="3"/>
  <c r="V7" i="3"/>
  <c r="V8" i="3" s="1"/>
  <c r="V10" i="3" s="1"/>
  <c r="V11" i="3" s="1"/>
  <c r="V12" i="3" s="1"/>
  <c r="V14" i="3" s="1"/>
  <c r="V15" i="3" s="1"/>
  <c r="V16" i="3" s="1"/>
  <c r="V18" i="3" s="1"/>
  <c r="V19" i="3" s="1"/>
  <c r="V20" i="3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4" i="3" s="1"/>
  <c r="B25" i="3" s="1"/>
  <c r="KB6" i="3"/>
  <c r="KA6" i="3"/>
  <c r="KA26" i="3" s="1"/>
  <c r="JY6" i="3"/>
  <c r="JY26" i="3" s="1"/>
  <c r="JW6" i="3"/>
  <c r="JS6" i="3"/>
  <c r="JH6" i="3"/>
  <c r="JF6" i="3"/>
  <c r="IX6" i="3"/>
  <c r="LL6" i="3" s="1"/>
  <c r="HY6" i="3"/>
  <c r="LI6" i="3" s="1"/>
  <c r="HG6" i="3"/>
  <c r="HF6" i="3"/>
  <c r="IF6" i="3" s="1"/>
  <c r="IM6" i="3" s="1"/>
  <c r="GU6" i="3"/>
  <c r="H24" i="3" s="1"/>
  <c r="GQ6" i="3"/>
  <c r="F24" i="3" s="1"/>
  <c r="GH6" i="3"/>
  <c r="GH12" i="3" s="1"/>
  <c r="H10" i="3" s="1"/>
  <c r="GD6" i="3"/>
  <c r="GD12" i="3" s="1"/>
  <c r="F10" i="3" s="1"/>
  <c r="FC6" i="3"/>
  <c r="EY6" i="3"/>
  <c r="EP6" i="3"/>
  <c r="EL6" i="3"/>
  <c r="DY6" i="3"/>
  <c r="CW6" i="3"/>
  <c r="CS6" i="3"/>
  <c r="JR5" i="3"/>
  <c r="KO4" i="3"/>
  <c r="KQ4" i="3" s="1"/>
  <c r="JY4" i="3"/>
  <c r="JT4" i="3"/>
  <c r="JS4" i="3"/>
  <c r="IH4" i="3"/>
  <c r="HP4" i="3"/>
  <c r="FS4" i="3"/>
  <c r="FQ4" i="3"/>
  <c r="AJ4" i="3"/>
  <c r="AI4" i="3"/>
  <c r="AH4" i="3"/>
  <c r="CT3" i="3"/>
  <c r="DE3" i="3" s="1"/>
  <c r="CP3" i="3"/>
  <c r="DC3" i="3" s="1"/>
  <c r="JV28" i="2"/>
  <c r="MC48" i="1"/>
  <c r="JV27" i="2"/>
  <c r="JV26" i="2"/>
  <c r="JV25" i="2"/>
  <c r="JV24" i="2"/>
  <c r="JV23" i="2"/>
  <c r="JV22" i="2"/>
  <c r="JV21" i="2"/>
  <c r="JV20" i="2"/>
  <c r="JV19" i="2"/>
  <c r="JV18" i="2"/>
  <c r="JV17" i="2"/>
  <c r="JV16" i="2"/>
  <c r="JV15" i="2"/>
  <c r="JV14" i="2"/>
  <c r="JV13" i="2"/>
  <c r="JV12" i="2"/>
  <c r="JV11" i="2"/>
  <c r="JV10" i="2"/>
  <c r="JV9" i="2"/>
  <c r="JV8" i="2"/>
  <c r="JV7" i="2"/>
  <c r="JV6" i="2"/>
  <c r="JV5" i="2"/>
  <c r="JV4" i="2"/>
  <c r="JI24" i="2"/>
  <c r="L28" i="2"/>
  <c r="HS27" i="2"/>
  <c r="HS26" i="2"/>
  <c r="HS25" i="2"/>
  <c r="HS24" i="2"/>
  <c r="HS23" i="2"/>
  <c r="HS22" i="2"/>
  <c r="HS21" i="2"/>
  <c r="HS20" i="2"/>
  <c r="HS19" i="2"/>
  <c r="HS18" i="2"/>
  <c r="HS17" i="2"/>
  <c r="HS16" i="2"/>
  <c r="HS15" i="2"/>
  <c r="HS14" i="2"/>
  <c r="HS13" i="2"/>
  <c r="HS12" i="2"/>
  <c r="HS11" i="2"/>
  <c r="HS10" i="2"/>
  <c r="HS9" i="2"/>
  <c r="HS8" i="2"/>
  <c r="HS7" i="2"/>
  <c r="HS6" i="2"/>
  <c r="HS5" i="2"/>
  <c r="HS4" i="2"/>
  <c r="JI27" i="2"/>
  <c r="JI26" i="2"/>
  <c r="JI25" i="2"/>
  <c r="JI23" i="2"/>
  <c r="JI22" i="2"/>
  <c r="JI21" i="2"/>
  <c r="JI20" i="2"/>
  <c r="JI19" i="2"/>
  <c r="JI18" i="2"/>
  <c r="JI17" i="2"/>
  <c r="JI16" i="2"/>
  <c r="JI15" i="2"/>
  <c r="JI14" i="2"/>
  <c r="JI13" i="2"/>
  <c r="JI12" i="2"/>
  <c r="JI11" i="2"/>
  <c r="JI10" i="2"/>
  <c r="JI9" i="2"/>
  <c r="JI8" i="2"/>
  <c r="JI7" i="2"/>
  <c r="JI6" i="2"/>
  <c r="JI5" i="2"/>
  <c r="JI4" i="2"/>
  <c r="M13" i="10" l="1"/>
  <c r="M12" i="10"/>
  <c r="M23" i="10"/>
  <c r="M17" i="10"/>
  <c r="M8" i="10"/>
  <c r="M7" i="10"/>
  <c r="M18" i="10"/>
  <c r="JV27" i="10"/>
  <c r="HA27" i="10"/>
  <c r="IS27" i="10"/>
  <c r="IV27" i="10" s="1"/>
  <c r="ET27" i="10"/>
  <c r="DN27" i="10"/>
  <c r="DO27" i="10" s="1"/>
  <c r="CK27" i="10"/>
  <c r="BP27" i="10"/>
  <c r="AU27" i="10"/>
  <c r="GB27" i="10"/>
  <c r="GP27" i="10" s="1"/>
  <c r="CQ27" i="10"/>
  <c r="GK27" i="10" s="1"/>
  <c r="FM27" i="10"/>
  <c r="GO27" i="10" s="1"/>
  <c r="EX27" i="10"/>
  <c r="GN27" i="10" s="1"/>
  <c r="DR27" i="10"/>
  <c r="GL27" i="10" s="1"/>
  <c r="BS27" i="10"/>
  <c r="GJ27" i="10" s="1"/>
  <c r="AZ27" i="10"/>
  <c r="GI27" i="10" s="1"/>
  <c r="EA27" i="10"/>
  <c r="JV26" i="10"/>
  <c r="IS26" i="10"/>
  <c r="ET26" i="10"/>
  <c r="DN26" i="10"/>
  <c r="DO26" i="10" s="1"/>
  <c r="CK26" i="10"/>
  <c r="BP26" i="10"/>
  <c r="AU26" i="10"/>
  <c r="JV25" i="10"/>
  <c r="IS25" i="10"/>
  <c r="ET25" i="10"/>
  <c r="DN25" i="10"/>
  <c r="DO25" i="10" s="1"/>
  <c r="CK25" i="10"/>
  <c r="BP25" i="10"/>
  <c r="AU25" i="10"/>
  <c r="JV24" i="10"/>
  <c r="HA24" i="10"/>
  <c r="IS24" i="10"/>
  <c r="IV24" i="10" s="1"/>
  <c r="DN24" i="10"/>
  <c r="DO24" i="10" s="1"/>
  <c r="CK24" i="10"/>
  <c r="BP24" i="10"/>
  <c r="EX24" i="10"/>
  <c r="GN24" i="10" s="1"/>
  <c r="FM24" i="10"/>
  <c r="GO24" i="10" s="1"/>
  <c r="DR24" i="10"/>
  <c r="GL24" i="10" s="1"/>
  <c r="AU24" i="10"/>
  <c r="EA24" i="10"/>
  <c r="GB24" i="10"/>
  <c r="GP24" i="10" s="1"/>
  <c r="CQ24" i="10"/>
  <c r="GK24" i="10" s="1"/>
  <c r="AZ24" i="10"/>
  <c r="GI24" i="10" s="1"/>
  <c r="BS24" i="10"/>
  <c r="GJ24" i="10" s="1"/>
  <c r="JV23" i="10"/>
  <c r="HA23" i="10"/>
  <c r="IS23" i="10"/>
  <c r="IV23" i="10" s="1"/>
  <c r="ET23" i="10"/>
  <c r="DN23" i="10"/>
  <c r="DO23" i="10" s="1"/>
  <c r="CK23" i="10"/>
  <c r="BP23" i="10"/>
  <c r="FM23" i="10"/>
  <c r="GO23" i="10" s="1"/>
  <c r="EX23" i="10"/>
  <c r="GN23" i="10" s="1"/>
  <c r="GB23" i="10"/>
  <c r="GP23" i="10" s="1"/>
  <c r="AU23" i="10"/>
  <c r="EA23" i="10"/>
  <c r="DR23" i="10"/>
  <c r="GL23" i="10" s="1"/>
  <c r="AZ23" i="10"/>
  <c r="GI23" i="10" s="1"/>
  <c r="BS23" i="10"/>
  <c r="GJ23" i="10" s="1"/>
  <c r="CQ23" i="10"/>
  <c r="GK23" i="10" s="1"/>
  <c r="JV22" i="10"/>
  <c r="IS22" i="10"/>
  <c r="ET22" i="10"/>
  <c r="DN22" i="10"/>
  <c r="DO22" i="10" s="1"/>
  <c r="CK22" i="10"/>
  <c r="BP22" i="10"/>
  <c r="AU22" i="10"/>
  <c r="JV21" i="10"/>
  <c r="IS21" i="10"/>
  <c r="ET21" i="10"/>
  <c r="DN21" i="10"/>
  <c r="DO21" i="10" s="1"/>
  <c r="CK21" i="10"/>
  <c r="BP21" i="10"/>
  <c r="AU21" i="10"/>
  <c r="JV20" i="10"/>
  <c r="IS20" i="10"/>
  <c r="ET20" i="10"/>
  <c r="DN20" i="10"/>
  <c r="DO20" i="10" s="1"/>
  <c r="CK20" i="10"/>
  <c r="BP20" i="10"/>
  <c r="AU20" i="10"/>
  <c r="JV19" i="10"/>
  <c r="IS19" i="10"/>
  <c r="ET19" i="10"/>
  <c r="DN19" i="10"/>
  <c r="DO19" i="10" s="1"/>
  <c r="CK19" i="10"/>
  <c r="BP19" i="10"/>
  <c r="AS19" i="10"/>
  <c r="AU19" i="10" s="1"/>
  <c r="JV18" i="10"/>
  <c r="IS18" i="10"/>
  <c r="ET18" i="10"/>
  <c r="DN18" i="10"/>
  <c r="DO18" i="10" s="1"/>
  <c r="CK18" i="10"/>
  <c r="BP18" i="10"/>
  <c r="AU18" i="10"/>
  <c r="JV17" i="10"/>
  <c r="IS17" i="10"/>
  <c r="IV17" i="10" s="1"/>
  <c r="ET17" i="10"/>
  <c r="DN17" i="10"/>
  <c r="DO17" i="10" s="1"/>
  <c r="CK17" i="10"/>
  <c r="BP17" i="10"/>
  <c r="AU17" i="10"/>
  <c r="JV16" i="10"/>
  <c r="IS16" i="10"/>
  <c r="ET16" i="10"/>
  <c r="DN16" i="10"/>
  <c r="DO16" i="10" s="1"/>
  <c r="CK16" i="10"/>
  <c r="BP16" i="10"/>
  <c r="AU16" i="10"/>
  <c r="JV15" i="10"/>
  <c r="IS15" i="10"/>
  <c r="IV15" i="10" s="1"/>
  <c r="ET15" i="10"/>
  <c r="DN15" i="10"/>
  <c r="DO15" i="10" s="1"/>
  <c r="CK15" i="10"/>
  <c r="BP15" i="10"/>
  <c r="AU15" i="10"/>
  <c r="JV14" i="10"/>
  <c r="IS14" i="10"/>
  <c r="ET14" i="10"/>
  <c r="DN14" i="10"/>
  <c r="DO14" i="10" s="1"/>
  <c r="CK14" i="10"/>
  <c r="BP14" i="10"/>
  <c r="AU14" i="10"/>
  <c r="JV13" i="10"/>
  <c r="IS13" i="10"/>
  <c r="DW13" i="10"/>
  <c r="ET13" i="10"/>
  <c r="DN13" i="10"/>
  <c r="DO13" i="10" s="1"/>
  <c r="CK13" i="10"/>
  <c r="BP13" i="10"/>
  <c r="AU13" i="10"/>
  <c r="JV12" i="10"/>
  <c r="IS12" i="10"/>
  <c r="ET12" i="10"/>
  <c r="DN12" i="10"/>
  <c r="DO12" i="10" s="1"/>
  <c r="CK12" i="10"/>
  <c r="BP12" i="10"/>
  <c r="AU12" i="10"/>
  <c r="JV11" i="10"/>
  <c r="IS11" i="10"/>
  <c r="ET11" i="10"/>
  <c r="DN11" i="10"/>
  <c r="DO11" i="10" s="1"/>
  <c r="CK11" i="10"/>
  <c r="BP11" i="10"/>
  <c r="AU11" i="10"/>
  <c r="JV10" i="10"/>
  <c r="IS10" i="10"/>
  <c r="ET10" i="10"/>
  <c r="DN10" i="10"/>
  <c r="DO10" i="10" s="1"/>
  <c r="CK10" i="10"/>
  <c r="BP10" i="10"/>
  <c r="AU10" i="10"/>
  <c r="JV9" i="10"/>
  <c r="IS9" i="10"/>
  <c r="ET9" i="10"/>
  <c r="DN9" i="10"/>
  <c r="DO9" i="10" s="1"/>
  <c r="CK9" i="10"/>
  <c r="BP9" i="10"/>
  <c r="AU9" i="10"/>
  <c r="JV8" i="10"/>
  <c r="IT8" i="10"/>
  <c r="HT8" i="10"/>
  <c r="HB8" i="10"/>
  <c r="GN8" i="10"/>
  <c r="GP8" i="10"/>
  <c r="GO8" i="10"/>
  <c r="DW8" i="10"/>
  <c r="DN8" i="10"/>
  <c r="DO8" i="10" s="1"/>
  <c r="CK8" i="10"/>
  <c r="BP8" i="10"/>
  <c r="EA8" i="10"/>
  <c r="GM8" i="10" s="1"/>
  <c r="DR8" i="10"/>
  <c r="GL8" i="10" s="1"/>
  <c r="AU8" i="10"/>
  <c r="AZ8" i="10"/>
  <c r="GI8" i="10" s="1"/>
  <c r="CQ8" i="10"/>
  <c r="GK8" i="10" s="1"/>
  <c r="BS8" i="10"/>
  <c r="GJ8" i="10" s="1"/>
  <c r="JV7" i="10"/>
  <c r="IS7" i="10"/>
  <c r="ET7" i="10"/>
  <c r="DN7" i="10"/>
  <c r="DO7" i="10" s="1"/>
  <c r="CK7" i="10"/>
  <c r="BP7" i="10"/>
  <c r="AU7" i="10"/>
  <c r="JV6" i="10"/>
  <c r="IS6" i="10"/>
  <c r="ET6" i="10"/>
  <c r="DN6" i="10"/>
  <c r="DO6" i="10" s="1"/>
  <c r="CK6" i="10"/>
  <c r="BP6" i="10"/>
  <c r="AU6" i="10"/>
  <c r="JV5" i="10"/>
  <c r="IS5" i="10"/>
  <c r="ET5" i="10"/>
  <c r="DN5" i="10"/>
  <c r="DO5" i="10" s="1"/>
  <c r="CK5" i="10"/>
  <c r="BP5" i="10"/>
  <c r="AU5" i="10"/>
  <c r="JI28" i="10"/>
  <c r="JV4" i="10"/>
  <c r="JK28" i="10"/>
  <c r="JZ26" i="9"/>
  <c r="IJ4" i="10"/>
  <c r="HS28" i="10"/>
  <c r="IK4" i="10" s="1"/>
  <c r="HU28" i="10"/>
  <c r="JX26" i="9"/>
  <c r="IS4" i="10"/>
  <c r="GZ28" i="10"/>
  <c r="ET4" i="10"/>
  <c r="DN4" i="10"/>
  <c r="CK4" i="10"/>
  <c r="BP4" i="10"/>
  <c r="AT28" i="10"/>
  <c r="AS4" i="10"/>
  <c r="AU4" i="10" s="1"/>
  <c r="O28" i="10"/>
  <c r="P4" i="10" s="1"/>
  <c r="ET8" i="10"/>
  <c r="ET24" i="10"/>
  <c r="MC34" i="9"/>
  <c r="IO27" i="9"/>
  <c r="KR28" i="9"/>
  <c r="JW26" i="9"/>
  <c r="HT27" i="9"/>
  <c r="HG26" i="9"/>
  <c r="KB17" i="9"/>
  <c r="JZ18" i="9"/>
  <c r="KB18" i="9"/>
  <c r="JX19" i="9"/>
  <c r="JZ19" i="9"/>
  <c r="JX20" i="9"/>
  <c r="JZ20" i="9"/>
  <c r="JX18" i="9"/>
  <c r="KB20" i="9"/>
  <c r="KB19" i="9"/>
  <c r="JZ17" i="9"/>
  <c r="JX17" i="9"/>
  <c r="IB4" i="10"/>
  <c r="ID4" i="10" s="1"/>
  <c r="HZ25" i="9"/>
  <c r="LJ25" i="9" s="1"/>
  <c r="JU25" i="9"/>
  <c r="IG25" i="9"/>
  <c r="IQ25" i="9"/>
  <c r="HP24" i="9"/>
  <c r="HR24" i="9" s="1"/>
  <c r="IG24" i="9"/>
  <c r="Q24" i="9"/>
  <c r="R24" i="9"/>
  <c r="HP23" i="9"/>
  <c r="HR23" i="9" s="1"/>
  <c r="IG23" i="9"/>
  <c r="HZ22" i="9"/>
  <c r="LJ22" i="9" s="1"/>
  <c r="JU22" i="9"/>
  <c r="IK22" i="9"/>
  <c r="IQ22" i="9"/>
  <c r="IW22" i="9"/>
  <c r="IS22" i="9"/>
  <c r="IU22" i="9"/>
  <c r="II22" i="9"/>
  <c r="HP21" i="9"/>
  <c r="HR21" i="9" s="1"/>
  <c r="IG21" i="9"/>
  <c r="HP20" i="9"/>
  <c r="HR20" i="9" s="1"/>
  <c r="IG20" i="9"/>
  <c r="FM36" i="9"/>
  <c r="FP36" i="9" s="1"/>
  <c r="F20" i="9" s="1"/>
  <c r="FP20" i="9"/>
  <c r="I20" i="9"/>
  <c r="J20" i="9"/>
  <c r="HP19" i="9"/>
  <c r="HR19" i="9" s="1"/>
  <c r="IG19" i="9"/>
  <c r="HP18" i="9"/>
  <c r="HR18" i="9" s="1"/>
  <c r="IG18" i="9"/>
  <c r="IG17" i="9"/>
  <c r="HP17" i="9"/>
  <c r="HR17" i="9" s="1"/>
  <c r="L17" i="9"/>
  <c r="M17" i="9"/>
  <c r="HP16" i="9"/>
  <c r="HR16" i="9" s="1"/>
  <c r="IG16" i="9"/>
  <c r="J16" i="9"/>
  <c r="I16" i="9"/>
  <c r="HP15" i="9"/>
  <c r="HR15" i="9" s="1"/>
  <c r="IG15" i="9"/>
  <c r="I15" i="9"/>
  <c r="J15" i="9"/>
  <c r="G15" i="9"/>
  <c r="CG14" i="9" s="1"/>
  <c r="CH14" i="9" s="1"/>
  <c r="AI9" i="9"/>
  <c r="IG14" i="9"/>
  <c r="HP14" i="9"/>
  <c r="HR14" i="9" s="1"/>
  <c r="IG13" i="9"/>
  <c r="HP13" i="9"/>
  <c r="HR13" i="9" s="1"/>
  <c r="JU12" i="9"/>
  <c r="HZ12" i="9"/>
  <c r="LJ12" i="9" s="1"/>
  <c r="IK12" i="9"/>
  <c r="IQ12" i="9"/>
  <c r="IS12" i="9"/>
  <c r="IU12" i="9"/>
  <c r="II12" i="9"/>
  <c r="IW12" i="9"/>
  <c r="I17" i="9"/>
  <c r="J17" i="9"/>
  <c r="G17" i="9"/>
  <c r="CG16" i="9" s="1"/>
  <c r="CH16" i="9" s="1"/>
  <c r="CF16" i="9"/>
  <c r="CI16" i="9" s="1"/>
  <c r="CJ16" i="9" s="1"/>
  <c r="MC29" i="9"/>
  <c r="MF11" i="9"/>
  <c r="MD11" i="9"/>
  <c r="HP11" i="9"/>
  <c r="HR11" i="9" s="1"/>
  <c r="IG11" i="9"/>
  <c r="AJ13" i="9"/>
  <c r="AJ12" i="9"/>
  <c r="AI13" i="9"/>
  <c r="AI12" i="9"/>
  <c r="AH13" i="9"/>
  <c r="AH12" i="9"/>
  <c r="P11" i="9"/>
  <c r="Q11" i="9"/>
  <c r="O11" i="9"/>
  <c r="HP10" i="9"/>
  <c r="HR10" i="9" s="1"/>
  <c r="IG10" i="9"/>
  <c r="AA12" i="9"/>
  <c r="AA11" i="9"/>
  <c r="IG9" i="9"/>
  <c r="HP9" i="9"/>
  <c r="HR9" i="9" s="1"/>
  <c r="I19" i="9"/>
  <c r="J19" i="9"/>
  <c r="L9" i="9"/>
  <c r="IG8" i="9"/>
  <c r="HP8" i="9"/>
  <c r="HR8" i="9" s="1"/>
  <c r="M8" i="9"/>
  <c r="L8" i="9"/>
  <c r="J8" i="9"/>
  <c r="I8" i="9"/>
  <c r="G8" i="9"/>
  <c r="CG8" i="9" s="1"/>
  <c r="CH8" i="9" s="1"/>
  <c r="CF8" i="9"/>
  <c r="CI8" i="9" s="1"/>
  <c r="CJ8" i="9" s="1"/>
  <c r="JJ7" i="9"/>
  <c r="KJ8" i="9" s="1"/>
  <c r="JG26" i="9"/>
  <c r="IG7" i="9"/>
  <c r="HP7" i="9"/>
  <c r="HR7" i="9" s="1"/>
  <c r="AJ8" i="9"/>
  <c r="AJ9" i="9"/>
  <c r="L7" i="9"/>
  <c r="JH26" i="9"/>
  <c r="JK26" i="9" s="1"/>
  <c r="JI6" i="9" s="1"/>
  <c r="JK6" i="9" s="1"/>
  <c r="KK7" i="9" s="1"/>
  <c r="JF26" i="9"/>
  <c r="K25" i="9" s="1"/>
  <c r="JJ6" i="9"/>
  <c r="KJ7" i="9" s="1"/>
  <c r="KS7" i="9" s="1"/>
  <c r="LO6" i="9"/>
  <c r="LI26" i="9"/>
  <c r="LO26" i="9" s="1"/>
  <c r="HP6" i="9"/>
  <c r="HR6" i="9" s="1"/>
  <c r="IG6" i="9"/>
  <c r="KQ7" i="9"/>
  <c r="IM26" i="9"/>
  <c r="X11" i="9"/>
  <c r="Y11" i="9"/>
  <c r="I11" i="9"/>
  <c r="Z11" i="9"/>
  <c r="CF22" i="9"/>
  <c r="CI22" i="9" s="1"/>
  <c r="CJ22" i="9" s="1"/>
  <c r="X8" i="9"/>
  <c r="Y8" i="9"/>
  <c r="Z8" i="9"/>
  <c r="G11" i="9"/>
  <c r="H7" i="9"/>
  <c r="M7" i="9" s="1"/>
  <c r="I10" i="9"/>
  <c r="J10" i="9"/>
  <c r="G10" i="9"/>
  <c r="CG10" i="9" s="1"/>
  <c r="CH10" i="9" s="1"/>
  <c r="CF10" i="9"/>
  <c r="CI10" i="9" s="1"/>
  <c r="CJ10" i="9" s="1"/>
  <c r="F7" i="9"/>
  <c r="FC9" i="9"/>
  <c r="FD6" i="9"/>
  <c r="I18" i="9"/>
  <c r="J18" i="9"/>
  <c r="G18" i="9"/>
  <c r="CG17" i="9" s="1"/>
  <c r="CH17" i="9" s="1"/>
  <c r="CF17" i="9"/>
  <c r="CI17" i="9" s="1"/>
  <c r="CJ17" i="9" s="1"/>
  <c r="I14" i="9"/>
  <c r="J14" i="9"/>
  <c r="H21" i="9"/>
  <c r="G14" i="9"/>
  <c r="CG13" i="9" s="1"/>
  <c r="CH13" i="9" s="1"/>
  <c r="F21" i="9"/>
  <c r="AH9" i="9"/>
  <c r="CF13" i="9"/>
  <c r="CI13" i="9" s="1"/>
  <c r="CJ13" i="9" s="1"/>
  <c r="KU4" i="9"/>
  <c r="KS4" i="9"/>
  <c r="IJ4" i="9"/>
  <c r="IL4" i="9"/>
  <c r="IN4" i="9" s="1"/>
  <c r="DZ3" i="9"/>
  <c r="EM3" i="9" s="1"/>
  <c r="DO3" i="9"/>
  <c r="DM3" i="9"/>
  <c r="DV3" i="9"/>
  <c r="EI3" i="9" s="1"/>
  <c r="KB27" i="9"/>
  <c r="G16" i="9"/>
  <c r="CG15" i="9" s="1"/>
  <c r="CH15" i="9" s="1"/>
  <c r="AI8" i="9"/>
  <c r="AH8" i="9"/>
  <c r="AA8" i="9"/>
  <c r="M24" i="8"/>
  <c r="M20" i="8"/>
  <c r="M28" i="8" s="1"/>
  <c r="JV27" i="8"/>
  <c r="IS27" i="8"/>
  <c r="IV27" i="8" s="1"/>
  <c r="HA27" i="8"/>
  <c r="ET27" i="8"/>
  <c r="DN27" i="8"/>
  <c r="DO27" i="8" s="1"/>
  <c r="CK27" i="8"/>
  <c r="BP27" i="8"/>
  <c r="FM27" i="8"/>
  <c r="GO27" i="8" s="1"/>
  <c r="GB27" i="8"/>
  <c r="GP27" i="8" s="1"/>
  <c r="EA27" i="8"/>
  <c r="DR27" i="8"/>
  <c r="GL27" i="8" s="1"/>
  <c r="CQ27" i="8"/>
  <c r="GK27" i="8" s="1"/>
  <c r="AZ27" i="8"/>
  <c r="GI27" i="8" s="1"/>
  <c r="EX27" i="8"/>
  <c r="GN27" i="8" s="1"/>
  <c r="BS27" i="8"/>
  <c r="GJ27" i="8" s="1"/>
  <c r="AU27" i="8"/>
  <c r="JV26" i="8"/>
  <c r="IS26" i="8"/>
  <c r="ET26" i="8"/>
  <c r="DN26" i="8"/>
  <c r="DO26" i="8" s="1"/>
  <c r="CK26" i="8"/>
  <c r="JV25" i="8"/>
  <c r="IS25" i="8"/>
  <c r="ET25" i="8"/>
  <c r="DN25" i="8"/>
  <c r="DO25" i="8" s="1"/>
  <c r="CK25" i="8"/>
  <c r="BP25" i="8"/>
  <c r="AU25" i="8"/>
  <c r="JV24" i="8"/>
  <c r="HA24" i="8"/>
  <c r="IS24" i="8"/>
  <c r="IV24" i="8" s="1"/>
  <c r="ET24" i="8"/>
  <c r="DN24" i="8"/>
  <c r="DO24" i="8" s="1"/>
  <c r="CK24" i="8"/>
  <c r="BP24" i="8"/>
  <c r="CQ24" i="8"/>
  <c r="GK24" i="8" s="1"/>
  <c r="BS24" i="8"/>
  <c r="GJ24" i="8" s="1"/>
  <c r="AZ24" i="8"/>
  <c r="GI24" i="8" s="1"/>
  <c r="AU24" i="8"/>
  <c r="EA24" i="8"/>
  <c r="DR24" i="8"/>
  <c r="GL24" i="8" s="1"/>
  <c r="EX24" i="8"/>
  <c r="GN24" i="8" s="1"/>
  <c r="FM24" i="8"/>
  <c r="GB24" i="8"/>
  <c r="GP24" i="8" s="1"/>
  <c r="JV23" i="8"/>
  <c r="HA23" i="8"/>
  <c r="IS23" i="8"/>
  <c r="IV23" i="8" s="1"/>
  <c r="ET23" i="8"/>
  <c r="DN23" i="8"/>
  <c r="DO23" i="8" s="1"/>
  <c r="CK23" i="8"/>
  <c r="BP23" i="8"/>
  <c r="DR23" i="8"/>
  <c r="GL23" i="8" s="1"/>
  <c r="GB23" i="8"/>
  <c r="GP23" i="8" s="1"/>
  <c r="BS23" i="8"/>
  <c r="GJ23" i="8" s="1"/>
  <c r="CQ23" i="8"/>
  <c r="GK23" i="8" s="1"/>
  <c r="AZ23" i="8"/>
  <c r="GI23" i="8" s="1"/>
  <c r="AU23" i="8"/>
  <c r="EX23" i="8"/>
  <c r="GN23" i="8" s="1"/>
  <c r="EA23" i="8"/>
  <c r="FM23" i="8"/>
  <c r="GO23" i="8" s="1"/>
  <c r="JV22" i="8"/>
  <c r="IS22" i="8"/>
  <c r="ET22" i="8"/>
  <c r="DN22" i="8"/>
  <c r="DO22" i="8" s="1"/>
  <c r="CK22" i="8"/>
  <c r="BP22" i="8"/>
  <c r="AU22" i="8"/>
  <c r="JV21" i="8"/>
  <c r="IS21" i="8"/>
  <c r="ET21" i="8"/>
  <c r="DN21" i="8"/>
  <c r="DO21" i="8" s="1"/>
  <c r="CK21" i="8"/>
  <c r="BP21" i="8"/>
  <c r="AU21" i="8"/>
  <c r="JV20" i="8"/>
  <c r="IS20" i="8"/>
  <c r="ET20" i="8"/>
  <c r="DN20" i="8"/>
  <c r="DO20" i="8" s="1"/>
  <c r="CK20" i="8"/>
  <c r="BP20" i="8"/>
  <c r="AU20" i="8"/>
  <c r="JV19" i="8"/>
  <c r="IS19" i="8"/>
  <c r="ET19" i="8"/>
  <c r="DN19" i="8"/>
  <c r="DO19" i="8" s="1"/>
  <c r="CK19" i="8"/>
  <c r="BP19" i="8"/>
  <c r="AU19" i="8"/>
  <c r="JV18" i="8"/>
  <c r="IS18" i="8"/>
  <c r="ET18" i="8"/>
  <c r="DN18" i="8"/>
  <c r="DO18" i="8" s="1"/>
  <c r="CK18" i="8"/>
  <c r="BP18" i="8"/>
  <c r="AU18" i="8"/>
  <c r="JV17" i="8"/>
  <c r="ET17" i="8"/>
  <c r="DN17" i="8"/>
  <c r="DO17" i="8" s="1"/>
  <c r="CK17" i="8"/>
  <c r="BP17" i="8"/>
  <c r="JV16" i="8"/>
  <c r="IS16" i="8"/>
  <c r="ET16" i="8"/>
  <c r="DN16" i="8"/>
  <c r="DO16" i="8" s="1"/>
  <c r="BP16" i="8"/>
  <c r="AU16" i="8"/>
  <c r="JV15" i="8"/>
  <c r="IS15" i="8"/>
  <c r="IV15" i="8" s="1"/>
  <c r="ET15" i="8"/>
  <c r="DN15" i="8"/>
  <c r="DO15" i="8" s="1"/>
  <c r="CK15" i="8"/>
  <c r="BP15" i="8"/>
  <c r="AU15" i="8"/>
  <c r="JV14" i="8"/>
  <c r="IS14" i="8"/>
  <c r="ET14" i="8"/>
  <c r="DN14" i="8"/>
  <c r="DO14" i="8" s="1"/>
  <c r="CK14" i="8"/>
  <c r="BP14" i="8"/>
  <c r="AU14" i="8"/>
  <c r="JV13" i="8"/>
  <c r="IS13" i="8"/>
  <c r="ET13" i="8"/>
  <c r="DN13" i="8"/>
  <c r="DO13" i="8" s="1"/>
  <c r="CK13" i="8"/>
  <c r="BP13" i="8"/>
  <c r="AU13" i="8"/>
  <c r="JV12" i="8"/>
  <c r="IS12" i="8"/>
  <c r="ET12" i="8"/>
  <c r="DL12" i="8"/>
  <c r="DM12" i="8" s="1"/>
  <c r="DN12" i="8"/>
  <c r="DO12" i="8" s="1"/>
  <c r="CK12" i="8"/>
  <c r="CM12" i="8"/>
  <c r="BP12" i="8"/>
  <c r="JV11" i="8"/>
  <c r="IS11" i="8"/>
  <c r="DW11" i="8"/>
  <c r="ET11" i="8"/>
  <c r="DN11" i="8"/>
  <c r="DO11" i="8" s="1"/>
  <c r="CK11" i="8"/>
  <c r="BP11" i="8"/>
  <c r="AU11" i="8"/>
  <c r="JV10" i="8"/>
  <c r="IS10" i="8"/>
  <c r="ET10" i="8"/>
  <c r="DN10" i="8"/>
  <c r="DO10" i="8" s="1"/>
  <c r="CK10" i="8"/>
  <c r="BP10" i="8"/>
  <c r="AU10" i="8"/>
  <c r="JV9" i="8"/>
  <c r="IS9" i="8"/>
  <c r="ET9" i="8"/>
  <c r="DN9" i="8"/>
  <c r="DO9" i="8" s="1"/>
  <c r="CK9" i="8"/>
  <c r="BP9" i="8"/>
  <c r="AU9" i="8"/>
  <c r="JV8" i="8"/>
  <c r="HB8" i="8"/>
  <c r="HT8" i="8"/>
  <c r="IT8" i="8"/>
  <c r="ET8" i="8"/>
  <c r="DN8" i="8"/>
  <c r="DO8" i="8" s="1"/>
  <c r="CK8" i="8"/>
  <c r="BP8" i="8"/>
  <c r="AU8" i="8"/>
  <c r="EA8" i="8"/>
  <c r="GM8" i="8" s="1"/>
  <c r="EX8" i="8"/>
  <c r="GN8" i="8" s="1"/>
  <c r="FM8" i="8"/>
  <c r="GO8" i="8" s="1"/>
  <c r="GB8" i="8"/>
  <c r="GP8" i="8" s="1"/>
  <c r="BS8" i="8"/>
  <c r="GJ8" i="8" s="1"/>
  <c r="DR8" i="8"/>
  <c r="GL8" i="8" s="1"/>
  <c r="AZ8" i="8"/>
  <c r="GI8" i="8" s="1"/>
  <c r="CQ8" i="8"/>
  <c r="GK8" i="8" s="1"/>
  <c r="JV7" i="8"/>
  <c r="IS7" i="8"/>
  <c r="ET7" i="8"/>
  <c r="DN7" i="8"/>
  <c r="DO7" i="8" s="1"/>
  <c r="CK7" i="8"/>
  <c r="BP7" i="8"/>
  <c r="AU7" i="8"/>
  <c r="JV6" i="8"/>
  <c r="IS6" i="8"/>
  <c r="ET6" i="8"/>
  <c r="DN6" i="8"/>
  <c r="DO6" i="8" s="1"/>
  <c r="CK6" i="8"/>
  <c r="BP6" i="8"/>
  <c r="AU6" i="8"/>
  <c r="JV5" i="8"/>
  <c r="IS5" i="8"/>
  <c r="ET5" i="8"/>
  <c r="DL5" i="8"/>
  <c r="DM5" i="8" s="1"/>
  <c r="DN5" i="8"/>
  <c r="DO5" i="8" s="1"/>
  <c r="CM5" i="8"/>
  <c r="CK5" i="8"/>
  <c r="BP5" i="8"/>
  <c r="AU5" i="8"/>
  <c r="JV4" i="8"/>
  <c r="KB4" i="8" s="1"/>
  <c r="JI28" i="8"/>
  <c r="JK28" i="8"/>
  <c r="HU28" i="8"/>
  <c r="HS28" i="8"/>
  <c r="IK4" i="8" s="1"/>
  <c r="IS4" i="8"/>
  <c r="GZ17" i="8"/>
  <c r="GZ28" i="8" s="1"/>
  <c r="GO24" i="8"/>
  <c r="ET4" i="8"/>
  <c r="DY4" i="8"/>
  <c r="DN4" i="8"/>
  <c r="DL4" i="8"/>
  <c r="AU4" i="8"/>
  <c r="AT28" i="8"/>
  <c r="P12" i="8"/>
  <c r="DY12" i="8" s="1"/>
  <c r="P4" i="8"/>
  <c r="CM4" i="8" s="1"/>
  <c r="CK16" i="8"/>
  <c r="BP4" i="8"/>
  <c r="CK4" i="8"/>
  <c r="JK26" i="7"/>
  <c r="JI7" i="7" s="1"/>
  <c r="JK7" i="7" s="1"/>
  <c r="KK8" i="7" s="1"/>
  <c r="IC4" i="8"/>
  <c r="MC34" i="7"/>
  <c r="IO27" i="7"/>
  <c r="KR28" i="7"/>
  <c r="HT27" i="7"/>
  <c r="JW26" i="7"/>
  <c r="JX27" i="7" s="1"/>
  <c r="JZ6" i="7"/>
  <c r="KB6" i="7"/>
  <c r="IB4" i="8"/>
  <c r="HG26" i="7"/>
  <c r="JX6" i="7"/>
  <c r="IQ25" i="7"/>
  <c r="HP25" i="7"/>
  <c r="HR25" i="7" s="1"/>
  <c r="IG25" i="7"/>
  <c r="IG24" i="7"/>
  <c r="HP24" i="7"/>
  <c r="HR24" i="7" s="1"/>
  <c r="Q24" i="7"/>
  <c r="R24" i="7"/>
  <c r="Y11" i="7"/>
  <c r="Z11" i="7"/>
  <c r="I11" i="7"/>
  <c r="X11" i="7"/>
  <c r="HZ23" i="7"/>
  <c r="LJ23" i="7" s="1"/>
  <c r="JU23" i="7"/>
  <c r="IQ23" i="7"/>
  <c r="II23" i="7"/>
  <c r="IU23" i="7"/>
  <c r="IW23" i="7"/>
  <c r="IS23" i="7"/>
  <c r="IK23" i="7"/>
  <c r="IG22" i="7"/>
  <c r="HP22" i="7"/>
  <c r="HR22" i="7" s="1"/>
  <c r="IG21" i="7"/>
  <c r="HP21" i="7"/>
  <c r="HR21" i="7" s="1"/>
  <c r="IG20" i="7"/>
  <c r="HP20" i="7"/>
  <c r="HR20" i="7" s="1"/>
  <c r="FM36" i="7"/>
  <c r="FP36" i="7" s="1"/>
  <c r="F20" i="7" s="1"/>
  <c r="FP20" i="7"/>
  <c r="I20" i="7"/>
  <c r="J20" i="7"/>
  <c r="HZ19" i="7"/>
  <c r="LJ19" i="7" s="1"/>
  <c r="JU19" i="7"/>
  <c r="II19" i="7"/>
  <c r="IK19" i="7"/>
  <c r="IS19" i="7"/>
  <c r="IW19" i="7"/>
  <c r="IU19" i="7"/>
  <c r="IQ19" i="7"/>
  <c r="I19" i="7"/>
  <c r="J19" i="7"/>
  <c r="IG18" i="7"/>
  <c r="HP18" i="7"/>
  <c r="HR18" i="7" s="1"/>
  <c r="HP17" i="7"/>
  <c r="HR17" i="7" s="1"/>
  <c r="IG17" i="7"/>
  <c r="M17" i="7"/>
  <c r="L17" i="7"/>
  <c r="HP16" i="7"/>
  <c r="HR16" i="7" s="1"/>
  <c r="IG16" i="7"/>
  <c r="HP15" i="7"/>
  <c r="HR15" i="7" s="1"/>
  <c r="IG15" i="7"/>
  <c r="G15" i="7"/>
  <c r="CG14" i="7" s="1"/>
  <c r="CH14" i="7" s="1"/>
  <c r="AI9" i="7"/>
  <c r="HZ14" i="7"/>
  <c r="LJ14" i="7" s="1"/>
  <c r="JU14" i="7"/>
  <c r="II14" i="7"/>
  <c r="IS14" i="7"/>
  <c r="IQ14" i="7"/>
  <c r="IK14" i="7"/>
  <c r="IW14" i="7"/>
  <c r="IU14" i="7"/>
  <c r="HP13" i="7"/>
  <c r="HR13" i="7" s="1"/>
  <c r="IG13" i="7"/>
  <c r="HP12" i="7"/>
  <c r="HR12" i="7" s="1"/>
  <c r="IG12" i="7"/>
  <c r="I10" i="7"/>
  <c r="J10" i="7"/>
  <c r="G10" i="7"/>
  <c r="CG10" i="7" s="1"/>
  <c r="CH10" i="7" s="1"/>
  <c r="CF10" i="7"/>
  <c r="CI10" i="7" s="1"/>
  <c r="CJ10" i="7" s="1"/>
  <c r="J17" i="7"/>
  <c r="I17" i="7"/>
  <c r="G17" i="7"/>
  <c r="CG16" i="7" s="1"/>
  <c r="CH16" i="7" s="1"/>
  <c r="CF16" i="7"/>
  <c r="CI16" i="7" s="1"/>
  <c r="CJ16" i="7" s="1"/>
  <c r="MC29" i="7"/>
  <c r="MF11" i="7"/>
  <c r="MD11" i="7"/>
  <c r="N11" i="7"/>
  <c r="IG11" i="7"/>
  <c r="HP11" i="7"/>
  <c r="HR11" i="7" s="1"/>
  <c r="HP10" i="7"/>
  <c r="HR10" i="7" s="1"/>
  <c r="IG10" i="7"/>
  <c r="HP9" i="7"/>
  <c r="HR9" i="7" s="1"/>
  <c r="IG9" i="7"/>
  <c r="AJ12" i="7"/>
  <c r="AJ13" i="7"/>
  <c r="AI12" i="7"/>
  <c r="AI13" i="7"/>
  <c r="AH12" i="7"/>
  <c r="AH13" i="7"/>
  <c r="P9" i="7"/>
  <c r="O9" i="7"/>
  <c r="MC9" i="7"/>
  <c r="M9" i="7"/>
  <c r="L9" i="7"/>
  <c r="IG8" i="7"/>
  <c r="HP8" i="7"/>
  <c r="HR8" i="7" s="1"/>
  <c r="O8" i="7"/>
  <c r="Q8" i="7"/>
  <c r="P8" i="7"/>
  <c r="MC8" i="7"/>
  <c r="L8" i="7"/>
  <c r="M8" i="7"/>
  <c r="I8" i="7"/>
  <c r="J8" i="7"/>
  <c r="CF8" i="7"/>
  <c r="CI8" i="7" s="1"/>
  <c r="CJ8" i="7" s="1"/>
  <c r="G8" i="7"/>
  <c r="CG8" i="7" s="1"/>
  <c r="CH8" i="7" s="1"/>
  <c r="JH26" i="7"/>
  <c r="JG7" i="7"/>
  <c r="JF26" i="7"/>
  <c r="K25" i="7" s="1"/>
  <c r="HP7" i="7"/>
  <c r="HR7" i="7" s="1"/>
  <c r="IG7" i="7"/>
  <c r="I7" i="7"/>
  <c r="J7" i="7"/>
  <c r="H9" i="7"/>
  <c r="G7" i="7"/>
  <c r="CG7" i="7" s="1"/>
  <c r="CH7" i="7" s="1"/>
  <c r="CF7" i="7"/>
  <c r="CI7" i="7" s="1"/>
  <c r="CJ7" i="7" s="1"/>
  <c r="F9" i="7"/>
  <c r="Q9" i="7" s="1"/>
  <c r="FC9" i="7"/>
  <c r="J18" i="7"/>
  <c r="I18" i="7"/>
  <c r="CF17" i="7"/>
  <c r="CI17" i="7" s="1"/>
  <c r="CJ17" i="7" s="1"/>
  <c r="G18" i="7"/>
  <c r="CG17" i="7" s="1"/>
  <c r="CH17" i="7" s="1"/>
  <c r="J14" i="7"/>
  <c r="H21" i="7"/>
  <c r="I14" i="7"/>
  <c r="CF13" i="7"/>
  <c r="CI13" i="7" s="1"/>
  <c r="CJ13" i="7" s="1"/>
  <c r="G14" i="7"/>
  <c r="CG13" i="7" s="1"/>
  <c r="CH13" i="7" s="1"/>
  <c r="F21" i="7"/>
  <c r="AH9" i="7"/>
  <c r="MC7" i="7"/>
  <c r="Q7" i="7"/>
  <c r="P7" i="7"/>
  <c r="O7" i="7"/>
  <c r="R7" i="7" s="1"/>
  <c r="L7" i="7"/>
  <c r="M7" i="7"/>
  <c r="LO6" i="7"/>
  <c r="LI26" i="7"/>
  <c r="IG6" i="7"/>
  <c r="HP6" i="7"/>
  <c r="HR6" i="7" s="1"/>
  <c r="KQ7" i="7"/>
  <c r="IM26" i="7"/>
  <c r="FD6" i="7"/>
  <c r="FE6" i="7"/>
  <c r="KS4" i="7"/>
  <c r="KU4" i="7"/>
  <c r="IL4" i="7"/>
  <c r="IN4" i="7" s="1"/>
  <c r="IJ4" i="7"/>
  <c r="DO3" i="7"/>
  <c r="DZ3" i="7"/>
  <c r="EM3" i="7" s="1"/>
  <c r="DM3" i="7"/>
  <c r="DV3" i="7"/>
  <c r="EI3" i="7" s="1"/>
  <c r="LO11" i="7"/>
  <c r="P14" i="8"/>
  <c r="P13" i="8"/>
  <c r="P11" i="8"/>
  <c r="P10" i="8"/>
  <c r="P9" i="8"/>
  <c r="P8" i="8"/>
  <c r="P7" i="8"/>
  <c r="P6" i="8"/>
  <c r="P5" i="8"/>
  <c r="DY5" i="8" s="1"/>
  <c r="P27" i="8"/>
  <c r="P23" i="8"/>
  <c r="P21" i="8"/>
  <c r="P20" i="8"/>
  <c r="P19" i="8"/>
  <c r="P16" i="8"/>
  <c r="DL16" i="8" s="1"/>
  <c r="DM16" i="8" s="1"/>
  <c r="P15" i="8"/>
  <c r="KB27" i="7"/>
  <c r="P26" i="8"/>
  <c r="P25" i="8"/>
  <c r="P24" i="8"/>
  <c r="P22" i="8"/>
  <c r="P18" i="8"/>
  <c r="P17" i="8"/>
  <c r="JZ27" i="7"/>
  <c r="DO6" i="6"/>
  <c r="DO5" i="6"/>
  <c r="GO23" i="6"/>
  <c r="DW4" i="6"/>
  <c r="GZ13" i="6"/>
  <c r="DN18" i="6"/>
  <c r="DO18" i="6" s="1"/>
  <c r="DN17" i="6"/>
  <c r="DO17" i="6" s="1"/>
  <c r="BP7" i="6"/>
  <c r="ET18" i="6"/>
  <c r="CK7" i="6"/>
  <c r="ET17" i="6"/>
  <c r="CK17" i="6"/>
  <c r="ET27" i="6"/>
  <c r="DN7" i="6"/>
  <c r="DO7" i="6" s="1"/>
  <c r="DN27" i="6"/>
  <c r="DO27" i="6" s="1"/>
  <c r="DL27" i="6"/>
  <c r="DM27" i="6" s="1"/>
  <c r="BP10" i="6"/>
  <c r="ET20" i="6"/>
  <c r="ET7" i="6"/>
  <c r="CK10" i="6"/>
  <c r="CM27" i="6"/>
  <c r="BP15" i="6"/>
  <c r="DN10" i="6"/>
  <c r="DO10" i="6" s="1"/>
  <c r="CK27" i="6"/>
  <c r="CK15" i="6"/>
  <c r="ET10" i="6"/>
  <c r="BP27" i="6"/>
  <c r="ET13" i="6"/>
  <c r="BP11" i="6"/>
  <c r="CK11" i="6"/>
  <c r="CK20" i="6"/>
  <c r="DN11" i="6"/>
  <c r="DO11" i="6" s="1"/>
  <c r="BP20" i="6"/>
  <c r="BP12" i="6"/>
  <c r="BP9" i="6"/>
  <c r="ET11" i="6"/>
  <c r="CK9" i="6"/>
  <c r="DN14" i="6"/>
  <c r="DO14" i="6" s="1"/>
  <c r="CK21" i="6"/>
  <c r="DN9" i="6"/>
  <c r="DO9" i="6" s="1"/>
  <c r="ET9" i="6"/>
  <c r="CK18" i="6"/>
  <c r="BP17" i="6"/>
  <c r="ET14" i="6"/>
  <c r="BP18" i="6"/>
  <c r="DN20" i="6"/>
  <c r="DO20" i="6" s="1"/>
  <c r="DL20" i="6"/>
  <c r="DM20" i="6" s="1"/>
  <c r="BP14" i="6"/>
  <c r="CM20" i="6"/>
  <c r="CK14" i="6"/>
  <c r="P25" i="6"/>
  <c r="P24" i="6"/>
  <c r="P21" i="6"/>
  <c r="P19" i="6"/>
  <c r="P18" i="6"/>
  <c r="P17" i="6"/>
  <c r="P16" i="6"/>
  <c r="P15" i="6"/>
  <c r="P14" i="6"/>
  <c r="P23" i="6"/>
  <c r="P12" i="6"/>
  <c r="P11" i="6"/>
  <c r="P13" i="6"/>
  <c r="DY13" i="6" s="1"/>
  <c r="P10" i="6"/>
  <c r="P9" i="6"/>
  <c r="P8" i="6"/>
  <c r="P7" i="6"/>
  <c r="P6" i="6"/>
  <c r="P5" i="6"/>
  <c r="P4" i="6"/>
  <c r="GI27" i="6"/>
  <c r="GI8" i="6"/>
  <c r="GJ23" i="6"/>
  <c r="GJ8" i="6"/>
  <c r="GJ27" i="6"/>
  <c r="GK27" i="6"/>
  <c r="GK8" i="6"/>
  <c r="GK23" i="6"/>
  <c r="GL8" i="6"/>
  <c r="GL27" i="6"/>
  <c r="GL23" i="6"/>
  <c r="GN24" i="6"/>
  <c r="GN8" i="6"/>
  <c r="GN23" i="6"/>
  <c r="GN27" i="6"/>
  <c r="GO27" i="6"/>
  <c r="GO24" i="6"/>
  <c r="GO8" i="6"/>
  <c r="GZ20" i="6"/>
  <c r="GZ10" i="6"/>
  <c r="GZ27" i="6"/>
  <c r="GZ17" i="6"/>
  <c r="GZ7" i="6"/>
  <c r="DW5" i="6"/>
  <c r="GZ18" i="6"/>
  <c r="GZ24" i="6"/>
  <c r="GZ9" i="6"/>
  <c r="GZ11" i="6"/>
  <c r="GZ14" i="6"/>
  <c r="GZ12" i="6"/>
  <c r="GZ16" i="6"/>
  <c r="GZ15" i="6"/>
  <c r="GZ8" i="6"/>
  <c r="GZ23" i="6"/>
  <c r="HS28" i="6"/>
  <c r="IK4" i="6" s="1"/>
  <c r="HU28" i="6"/>
  <c r="JI28" i="6"/>
  <c r="JK28" i="6"/>
  <c r="DL21" i="6"/>
  <c r="DM21" i="6" s="1"/>
  <c r="CK12" i="6"/>
  <c r="ET21" i="6"/>
  <c r="BP25" i="6"/>
  <c r="BP16" i="6"/>
  <c r="CM16" i="6"/>
  <c r="DN21" i="6"/>
  <c r="DO21" i="6" s="1"/>
  <c r="DL13" i="6"/>
  <c r="DM13" i="6" s="1"/>
  <c r="DN13" i="6"/>
  <c r="DO13" i="6" s="1"/>
  <c r="CK13" i="6"/>
  <c r="DN16" i="6"/>
  <c r="DO16" i="6" s="1"/>
  <c r="CM21" i="6"/>
  <c r="DL16" i="6"/>
  <c r="DM16" i="6" s="1"/>
  <c r="CK16" i="6"/>
  <c r="DN12" i="6"/>
  <c r="DO12" i="6" s="1"/>
  <c r="DL12" i="6"/>
  <c r="DM12" i="6" s="1"/>
  <c r="ET12" i="6"/>
  <c r="BP19" i="6"/>
  <c r="CK19" i="6"/>
  <c r="CM19" i="6"/>
  <c r="CM12" i="6"/>
  <c r="DL19" i="6"/>
  <c r="DM19" i="6" s="1"/>
  <c r="DN19" i="6"/>
  <c r="DO19" i="6" s="1"/>
  <c r="ET19" i="6"/>
  <c r="BP13" i="6"/>
  <c r="ET16" i="6"/>
  <c r="CM13" i="6"/>
  <c r="GI24" i="6"/>
  <c r="GJ24" i="6"/>
  <c r="GK24" i="6"/>
  <c r="GL24" i="6"/>
  <c r="GZ19" i="6"/>
  <c r="GZ22" i="6"/>
  <c r="DW6" i="6"/>
  <c r="GZ21" i="6"/>
  <c r="DY7" i="6"/>
  <c r="DY9" i="6"/>
  <c r="DY10" i="6"/>
  <c r="DY11" i="6"/>
  <c r="DW12" i="6"/>
  <c r="DY14" i="6"/>
  <c r="DY15" i="6"/>
  <c r="DY16" i="6"/>
  <c r="DY17" i="6"/>
  <c r="DY18" i="6"/>
  <c r="DY19" i="6"/>
  <c r="DY21" i="6"/>
  <c r="DL22" i="6"/>
  <c r="DM22" i="6" s="1"/>
  <c r="CM22" i="6"/>
  <c r="DY22" i="6"/>
  <c r="CK25" i="6"/>
  <c r="DN25" i="6"/>
  <c r="DO25" i="6" s="1"/>
  <c r="DL25" i="6"/>
  <c r="DM25" i="6" s="1"/>
  <c r="CM25" i="6"/>
  <c r="AZ23" i="6"/>
  <c r="GI23" i="6" s="1"/>
  <c r="AU23" i="6"/>
  <c r="AU28" i="6" s="1"/>
  <c r="AL7" i="6" s="1"/>
  <c r="AS28" i="6" s="1"/>
  <c r="GB23" i="6"/>
  <c r="GP23" i="6" s="1"/>
  <c r="DY25" i="6"/>
  <c r="CM26" i="6"/>
  <c r="CK26" i="6"/>
  <c r="DY26" i="6"/>
  <c r="M4" i="6"/>
  <c r="M15" i="6"/>
  <c r="M18" i="6"/>
  <c r="M24" i="6"/>
  <c r="M17" i="6"/>
  <c r="M21" i="6"/>
  <c r="BP21" i="6" s="1"/>
  <c r="M9" i="6"/>
  <c r="M8" i="6"/>
  <c r="M7" i="6"/>
  <c r="M14" i="6"/>
  <c r="M11" i="6"/>
  <c r="IT8" i="6"/>
  <c r="HT8" i="6"/>
  <c r="CF22" i="5"/>
  <c r="CI22" i="5" s="1"/>
  <c r="CJ22" i="5" s="1"/>
  <c r="G18" i="5"/>
  <c r="G17" i="5"/>
  <c r="CG16" i="5" s="1"/>
  <c r="CH16" i="5" s="1"/>
  <c r="G11" i="5"/>
  <c r="AA8" i="5"/>
  <c r="Z8" i="5"/>
  <c r="Y8" i="5"/>
  <c r="X8" i="5"/>
  <c r="G14" i="5"/>
  <c r="CG13" i="5" s="1"/>
  <c r="CH13" i="5" s="1"/>
  <c r="I20" i="5"/>
  <c r="I18" i="5"/>
  <c r="I17" i="5"/>
  <c r="Z11" i="5"/>
  <c r="Y11" i="5"/>
  <c r="X11" i="5"/>
  <c r="I11" i="5"/>
  <c r="I14" i="5"/>
  <c r="F9" i="5"/>
  <c r="CF7" i="5"/>
  <c r="CI7" i="5" s="1"/>
  <c r="CJ7" i="5" s="1"/>
  <c r="G7" i="5"/>
  <c r="CG7" i="5" s="1"/>
  <c r="CH7" i="5" s="1"/>
  <c r="H9" i="5"/>
  <c r="J7" i="5"/>
  <c r="I7" i="5"/>
  <c r="CF8" i="5"/>
  <c r="CI8" i="5" s="1"/>
  <c r="CJ8" i="5" s="1"/>
  <c r="G8" i="5"/>
  <c r="CG8" i="5" s="1"/>
  <c r="CH8" i="5" s="1"/>
  <c r="J8" i="5"/>
  <c r="I8" i="5"/>
  <c r="AH12" i="5"/>
  <c r="AI9" i="5"/>
  <c r="CF14" i="5"/>
  <c r="CI14" i="5" s="1"/>
  <c r="CJ14" i="5" s="1"/>
  <c r="G15" i="5"/>
  <c r="CG14" i="5" s="1"/>
  <c r="CH14" i="5" s="1"/>
  <c r="AI12" i="5"/>
  <c r="J15" i="5"/>
  <c r="I15" i="5"/>
  <c r="CF15" i="5"/>
  <c r="CI15" i="5" s="1"/>
  <c r="CJ15" i="5" s="1"/>
  <c r="AJ9" i="5"/>
  <c r="G16" i="5"/>
  <c r="CG15" i="5" s="1"/>
  <c r="CH15" i="5" s="1"/>
  <c r="AJ12" i="5"/>
  <c r="J16" i="5"/>
  <c r="I16" i="5"/>
  <c r="FD6" i="5"/>
  <c r="FE6" i="5"/>
  <c r="FE7" i="5"/>
  <c r="FD8" i="5"/>
  <c r="FF8" i="5" s="1"/>
  <c r="FE8" i="5"/>
  <c r="FD7" i="5"/>
  <c r="J19" i="5"/>
  <c r="I19" i="5"/>
  <c r="HR26" i="5"/>
  <c r="HZ9" i="5"/>
  <c r="LJ9" i="5" s="1"/>
  <c r="JU9" i="5"/>
  <c r="IY9" i="5"/>
  <c r="KS10" i="5"/>
  <c r="KQ10" i="5"/>
  <c r="AA11" i="5"/>
  <c r="AA12" i="5"/>
  <c r="CF10" i="5"/>
  <c r="CI10" i="5" s="1"/>
  <c r="CJ10" i="5" s="1"/>
  <c r="G10" i="5"/>
  <c r="CG10" i="5" s="1"/>
  <c r="CH10" i="5" s="1"/>
  <c r="J10" i="5"/>
  <c r="I10" i="5"/>
  <c r="JU10" i="5"/>
  <c r="HZ10" i="5"/>
  <c r="LJ10" i="5" s="1"/>
  <c r="LI26" i="5"/>
  <c r="LO10" i="5"/>
  <c r="IY10" i="5"/>
  <c r="II26" i="5"/>
  <c r="JG26" i="5"/>
  <c r="JJ10" i="5"/>
  <c r="KJ11" i="5" s="1"/>
  <c r="Q11" i="5"/>
  <c r="P11" i="5"/>
  <c r="O11" i="5"/>
  <c r="R11" i="5" s="1"/>
  <c r="HZ13" i="5"/>
  <c r="LJ13" i="5" s="1"/>
  <c r="JU13" i="5"/>
  <c r="LM13" i="5"/>
  <c r="LB14" i="5"/>
  <c r="IZ13" i="5"/>
  <c r="KS14" i="5"/>
  <c r="KQ14" i="5"/>
  <c r="CF13" i="5"/>
  <c r="CI13" i="5" s="1"/>
  <c r="CJ13" i="5" s="1"/>
  <c r="AH9" i="5"/>
  <c r="F21" i="5"/>
  <c r="J21" i="5"/>
  <c r="I21" i="5"/>
  <c r="IK26" i="5"/>
  <c r="KQ15" i="5"/>
  <c r="IM26" i="5"/>
  <c r="IQ26" i="5"/>
  <c r="IS26" i="5"/>
  <c r="IU26" i="5"/>
  <c r="IW26" i="5"/>
  <c r="LM14" i="5"/>
  <c r="LP14" i="5" s="1"/>
  <c r="LB15" i="5"/>
  <c r="IZ14" i="5"/>
  <c r="JI25" i="5"/>
  <c r="JK25" i="5" s="1"/>
  <c r="JI24" i="5"/>
  <c r="JK24" i="5" s="1"/>
  <c r="JI23" i="5"/>
  <c r="JK23" i="5" s="1"/>
  <c r="JI22" i="5"/>
  <c r="JK22" i="5" s="1"/>
  <c r="JI21" i="5"/>
  <c r="JK21" i="5" s="1"/>
  <c r="JI20" i="5"/>
  <c r="JK20" i="5" s="1"/>
  <c r="JI19" i="5"/>
  <c r="JK19" i="5" s="1"/>
  <c r="JI17" i="5"/>
  <c r="JK17" i="5" s="1"/>
  <c r="JI16" i="5"/>
  <c r="JK16" i="5" s="1"/>
  <c r="JI15" i="5"/>
  <c r="JK15" i="5" s="1"/>
  <c r="JI18" i="5"/>
  <c r="JK18" i="5" s="1"/>
  <c r="JI12" i="5"/>
  <c r="JK12" i="5" s="1"/>
  <c r="JI11" i="5"/>
  <c r="JK11" i="5" s="1"/>
  <c r="JI8" i="5"/>
  <c r="JK8" i="5" s="1"/>
  <c r="JI7" i="5"/>
  <c r="JK7" i="5" s="1"/>
  <c r="JI6" i="5"/>
  <c r="JK6" i="5" s="1"/>
  <c r="KK7" i="5" s="1"/>
  <c r="JI14" i="5"/>
  <c r="JK14" i="5" s="1"/>
  <c r="JI9" i="5"/>
  <c r="JK9" i="5" s="1"/>
  <c r="JI10" i="5"/>
  <c r="JK10" i="5" s="1"/>
  <c r="KK27" i="5"/>
  <c r="LM18" i="5"/>
  <c r="LP18" i="5" s="1"/>
  <c r="IZ18" i="5"/>
  <c r="LB19" i="5"/>
  <c r="F25" i="5"/>
  <c r="CF23" i="5" s="1"/>
  <c r="CI23" i="5" s="1"/>
  <c r="CJ23" i="5" s="1"/>
  <c r="H25" i="5"/>
  <c r="KB17" i="5"/>
  <c r="KB7" i="5"/>
  <c r="JX16" i="5"/>
  <c r="JZ16" i="5"/>
  <c r="KB16" i="5"/>
  <c r="JX8" i="5"/>
  <c r="JZ8" i="5"/>
  <c r="JX17" i="5"/>
  <c r="JZ17" i="5"/>
  <c r="JX12" i="5"/>
  <c r="IB4" i="6"/>
  <c r="JX9" i="5"/>
  <c r="JX13" i="5"/>
  <c r="JZ13" i="5"/>
  <c r="JX10" i="5"/>
  <c r="JZ10" i="5"/>
  <c r="KB10" i="5"/>
  <c r="KB8" i="5"/>
  <c r="JZ12" i="5"/>
  <c r="KB12" i="5"/>
  <c r="JX11" i="5"/>
  <c r="JZ11" i="5"/>
  <c r="KB11" i="5"/>
  <c r="JX19" i="5"/>
  <c r="JZ19" i="5"/>
  <c r="KB19" i="5"/>
  <c r="JZ9" i="5"/>
  <c r="JX7" i="5"/>
  <c r="JZ7" i="5"/>
  <c r="KB9" i="5"/>
  <c r="JX6" i="5"/>
  <c r="JX20" i="5"/>
  <c r="JZ20" i="5"/>
  <c r="KB20" i="5"/>
  <c r="JZ6" i="5"/>
  <c r="JX15" i="5"/>
  <c r="JX21" i="5"/>
  <c r="JZ21" i="5"/>
  <c r="KB21" i="5"/>
  <c r="JX22" i="5"/>
  <c r="JZ22" i="5"/>
  <c r="KB22" i="5"/>
  <c r="JX23" i="5"/>
  <c r="JZ23" i="5"/>
  <c r="KB23" i="5"/>
  <c r="JZ15" i="5"/>
  <c r="KB15" i="5"/>
  <c r="K24" i="5"/>
  <c r="JX24" i="5"/>
  <c r="JZ24" i="5"/>
  <c r="KB24" i="5"/>
  <c r="JX25" i="5"/>
  <c r="JZ25" i="5"/>
  <c r="KB25" i="5"/>
  <c r="KB6" i="5"/>
  <c r="KB13" i="5"/>
  <c r="K7" i="5"/>
  <c r="M8" i="5"/>
  <c r="L8" i="5"/>
  <c r="M9" i="5"/>
  <c r="L9" i="5"/>
  <c r="M17" i="5"/>
  <c r="N24" i="5"/>
  <c r="IC4" i="6"/>
  <c r="MC34" i="5"/>
  <c r="N7" i="5"/>
  <c r="MC8" i="5"/>
  <c r="Q8" i="5"/>
  <c r="P8" i="5"/>
  <c r="O8" i="5"/>
  <c r="MC9" i="5"/>
  <c r="Q9" i="5"/>
  <c r="P9" i="5"/>
  <c r="O9" i="5"/>
  <c r="CF18" i="5"/>
  <c r="CI18" i="5" s="1"/>
  <c r="CJ18" i="5" s="1"/>
  <c r="J20" i="5"/>
  <c r="G20" i="5"/>
  <c r="CG18" i="5" s="1"/>
  <c r="CH18" i="5" s="1"/>
  <c r="G19" i="5"/>
  <c r="LL26" i="5"/>
  <c r="JI13" i="5"/>
  <c r="JK13" i="5" s="1"/>
  <c r="KQ18" i="5"/>
  <c r="LO18" i="5"/>
  <c r="KQ19" i="5"/>
  <c r="M25" i="4"/>
  <c r="M26" i="4"/>
  <c r="M21" i="4"/>
  <c r="M16" i="4"/>
  <c r="M24" i="4"/>
  <c r="M17" i="4"/>
  <c r="M15" i="4"/>
  <c r="M5" i="4"/>
  <c r="M20" i="4"/>
  <c r="M18" i="4"/>
  <c r="JV27" i="4"/>
  <c r="HA27" i="4"/>
  <c r="IS27" i="4"/>
  <c r="IV27" i="4" s="1"/>
  <c r="ET27" i="4"/>
  <c r="DN27" i="4"/>
  <c r="DO27" i="4" s="1"/>
  <c r="CK27" i="4"/>
  <c r="BP27" i="4"/>
  <c r="EX27" i="4"/>
  <c r="GN27" i="4" s="1"/>
  <c r="FM27" i="4"/>
  <c r="GO27" i="4" s="1"/>
  <c r="CQ27" i="4"/>
  <c r="GK27" i="4" s="1"/>
  <c r="GB27" i="4"/>
  <c r="GP27" i="4" s="1"/>
  <c r="BS27" i="4"/>
  <c r="GJ27" i="4" s="1"/>
  <c r="EA27" i="4"/>
  <c r="DR27" i="4"/>
  <c r="GL27" i="4" s="1"/>
  <c r="AZ27" i="4"/>
  <c r="GI27" i="4" s="1"/>
  <c r="AU27" i="4"/>
  <c r="JV26" i="4"/>
  <c r="IS26" i="4"/>
  <c r="DW26" i="4"/>
  <c r="ET26" i="4"/>
  <c r="DN26" i="4"/>
  <c r="DO26" i="4" s="1"/>
  <c r="CK26" i="4"/>
  <c r="BP26" i="4"/>
  <c r="AU26" i="4"/>
  <c r="JV25" i="4"/>
  <c r="IS25" i="4"/>
  <c r="ET25" i="4"/>
  <c r="DN25" i="4"/>
  <c r="DO25" i="4" s="1"/>
  <c r="CK25" i="4"/>
  <c r="BP25" i="4"/>
  <c r="AU25" i="4"/>
  <c r="JV24" i="4"/>
  <c r="HA24" i="4"/>
  <c r="IS24" i="4"/>
  <c r="IV24" i="4" s="1"/>
  <c r="GN24" i="4"/>
  <c r="GO24" i="4"/>
  <c r="GP24" i="4"/>
  <c r="GL24" i="4"/>
  <c r="GK24" i="4"/>
  <c r="GJ24" i="4"/>
  <c r="GI24" i="4"/>
  <c r="ET24" i="4"/>
  <c r="DN24" i="4"/>
  <c r="DO24" i="4" s="1"/>
  <c r="CK24" i="4"/>
  <c r="BP24" i="4"/>
  <c r="EA24" i="4"/>
  <c r="CQ24" i="4"/>
  <c r="DR24" i="4"/>
  <c r="FM24" i="4"/>
  <c r="EX24" i="4"/>
  <c r="GB24" i="4"/>
  <c r="AU24" i="4"/>
  <c r="AZ24" i="4"/>
  <c r="BS24" i="4"/>
  <c r="JV23" i="4"/>
  <c r="HA23" i="4"/>
  <c r="IS23" i="4"/>
  <c r="IV23" i="4" s="1"/>
  <c r="ET23" i="4"/>
  <c r="DN23" i="4"/>
  <c r="DO23" i="4" s="1"/>
  <c r="CK23" i="4"/>
  <c r="BP23" i="4"/>
  <c r="EX23" i="4"/>
  <c r="GN23" i="4" s="1"/>
  <c r="EA23" i="4"/>
  <c r="DR23" i="4"/>
  <c r="GL23" i="4" s="1"/>
  <c r="GB23" i="4"/>
  <c r="GP23" i="4" s="1"/>
  <c r="BS23" i="4"/>
  <c r="GJ23" i="4" s="1"/>
  <c r="FM23" i="4"/>
  <c r="GO23" i="4" s="1"/>
  <c r="AZ23" i="4"/>
  <c r="GI23" i="4" s="1"/>
  <c r="AU23" i="4"/>
  <c r="CQ23" i="4"/>
  <c r="GK23" i="4" s="1"/>
  <c r="JV22" i="4"/>
  <c r="IS22" i="4"/>
  <c r="ET22" i="4"/>
  <c r="DN22" i="4"/>
  <c r="DO22" i="4" s="1"/>
  <c r="CK22" i="4"/>
  <c r="BP22" i="4"/>
  <c r="AU22" i="4"/>
  <c r="JV21" i="4"/>
  <c r="IS21" i="4"/>
  <c r="ET21" i="4"/>
  <c r="DN21" i="4"/>
  <c r="DO21" i="4" s="1"/>
  <c r="CK21" i="4"/>
  <c r="BP21" i="4"/>
  <c r="AU21" i="4"/>
  <c r="JV20" i="4"/>
  <c r="IS20" i="4"/>
  <c r="ET20" i="4"/>
  <c r="DN20" i="4"/>
  <c r="DO20" i="4" s="1"/>
  <c r="CK20" i="4"/>
  <c r="BP20" i="4"/>
  <c r="AU20" i="4"/>
  <c r="JV19" i="4"/>
  <c r="IS19" i="4"/>
  <c r="ET19" i="4"/>
  <c r="DN19" i="4"/>
  <c r="DO19" i="4" s="1"/>
  <c r="CK19" i="4"/>
  <c r="BP19" i="4"/>
  <c r="AU19" i="4"/>
  <c r="JV18" i="4"/>
  <c r="IS18" i="4"/>
  <c r="ET18" i="4"/>
  <c r="DN18" i="4"/>
  <c r="DO18" i="4" s="1"/>
  <c r="CK18" i="4"/>
  <c r="BP18" i="4"/>
  <c r="AU18" i="4"/>
  <c r="JV17" i="4"/>
  <c r="IS17" i="4"/>
  <c r="IV17" i="4" s="1"/>
  <c r="ET17" i="4"/>
  <c r="DN17" i="4"/>
  <c r="DO17" i="4" s="1"/>
  <c r="CK17" i="4"/>
  <c r="BP17" i="4"/>
  <c r="AU17" i="4"/>
  <c r="JV16" i="4"/>
  <c r="IS16" i="4"/>
  <c r="ET16" i="4"/>
  <c r="DN16" i="4"/>
  <c r="DO16" i="4" s="1"/>
  <c r="CK16" i="4"/>
  <c r="BP16" i="4"/>
  <c r="AU16" i="4"/>
  <c r="JV15" i="4"/>
  <c r="IS15" i="4"/>
  <c r="IV15" i="4" s="1"/>
  <c r="ET15" i="4"/>
  <c r="DN15" i="4"/>
  <c r="DO15" i="4" s="1"/>
  <c r="CK15" i="4"/>
  <c r="BP15" i="4"/>
  <c r="AU15" i="4"/>
  <c r="JV14" i="4"/>
  <c r="IS14" i="4"/>
  <c r="ET14" i="4"/>
  <c r="DN14" i="4"/>
  <c r="DO14" i="4" s="1"/>
  <c r="BP14" i="4"/>
  <c r="JV13" i="4"/>
  <c r="IS13" i="4"/>
  <c r="ET13" i="4"/>
  <c r="DN13" i="4"/>
  <c r="DO13" i="4" s="1"/>
  <c r="CK13" i="4"/>
  <c r="BP13" i="4"/>
  <c r="AU13" i="4"/>
  <c r="JV12" i="4"/>
  <c r="IS12" i="4"/>
  <c r="ET12" i="4"/>
  <c r="DN12" i="4"/>
  <c r="DO12" i="4" s="1"/>
  <c r="CK12" i="4"/>
  <c r="BP12" i="4"/>
  <c r="AU12" i="4"/>
  <c r="JV11" i="4"/>
  <c r="IS11" i="4"/>
  <c r="ET11" i="4"/>
  <c r="DN11" i="4"/>
  <c r="DO11" i="4" s="1"/>
  <c r="CK11" i="4"/>
  <c r="BP11" i="4"/>
  <c r="AU11" i="4"/>
  <c r="JV10" i="4"/>
  <c r="IS10" i="4"/>
  <c r="ET10" i="4"/>
  <c r="DN10" i="4"/>
  <c r="DO10" i="4" s="1"/>
  <c r="CK10" i="4"/>
  <c r="JV9" i="4"/>
  <c r="IS9" i="4"/>
  <c r="ET9" i="4"/>
  <c r="DN9" i="4"/>
  <c r="DO9" i="4" s="1"/>
  <c r="CK9" i="4"/>
  <c r="BP9" i="4"/>
  <c r="AU9" i="4"/>
  <c r="JV8" i="4"/>
  <c r="HT8" i="4"/>
  <c r="HB8" i="4"/>
  <c r="IT8" i="4"/>
  <c r="ET8" i="4"/>
  <c r="DN8" i="4"/>
  <c r="DO8" i="4" s="1"/>
  <c r="CK8" i="4"/>
  <c r="BP8" i="4"/>
  <c r="EX8" i="4"/>
  <c r="GN8" i="4" s="1"/>
  <c r="BS8" i="4"/>
  <c r="GJ8" i="4" s="1"/>
  <c r="AU8" i="4"/>
  <c r="AZ8" i="4"/>
  <c r="GI8" i="4" s="1"/>
  <c r="FM8" i="4"/>
  <c r="GO8" i="4" s="1"/>
  <c r="CQ8" i="4"/>
  <c r="GK8" i="4" s="1"/>
  <c r="GB8" i="4"/>
  <c r="GP8" i="4" s="1"/>
  <c r="EA8" i="4"/>
  <c r="GM8" i="4" s="1"/>
  <c r="DR8" i="4"/>
  <c r="GL8" i="4" s="1"/>
  <c r="JV7" i="4"/>
  <c r="IS7" i="4"/>
  <c r="ET7" i="4"/>
  <c r="EH5" i="4"/>
  <c r="EH4" i="4"/>
  <c r="EH7" i="4"/>
  <c r="DN7" i="4"/>
  <c r="DO7" i="4" s="1"/>
  <c r="CK7" i="4"/>
  <c r="BP7" i="4"/>
  <c r="AU7" i="4"/>
  <c r="JV6" i="4"/>
  <c r="IS6" i="4"/>
  <c r="ET6" i="4"/>
  <c r="DN6" i="4"/>
  <c r="DO6" i="4" s="1"/>
  <c r="CK6" i="4"/>
  <c r="BP6" i="4"/>
  <c r="AS6" i="4"/>
  <c r="AU6" i="4" s="1"/>
  <c r="JZ26" i="3"/>
  <c r="JV5" i="4"/>
  <c r="JX9" i="3"/>
  <c r="JX14" i="3"/>
  <c r="JX17" i="3"/>
  <c r="JX18" i="3"/>
  <c r="JX20" i="3"/>
  <c r="JX12" i="3"/>
  <c r="JX8" i="3"/>
  <c r="JX10" i="3"/>
  <c r="JX13" i="3"/>
  <c r="JX11" i="3"/>
  <c r="JX6" i="3"/>
  <c r="JX7" i="3"/>
  <c r="N8" i="3"/>
  <c r="JX15" i="3"/>
  <c r="JX16" i="3"/>
  <c r="JX19" i="3"/>
  <c r="JX21" i="3"/>
  <c r="JX22" i="3"/>
  <c r="JX23" i="3"/>
  <c r="JX24" i="3"/>
  <c r="JX25" i="3"/>
  <c r="IS5" i="4"/>
  <c r="DW5" i="4"/>
  <c r="ET5" i="4"/>
  <c r="DN5" i="4"/>
  <c r="DO5" i="4" s="1"/>
  <c r="CK5" i="4"/>
  <c r="BP5" i="4"/>
  <c r="AU5" i="4"/>
  <c r="JV4" i="4"/>
  <c r="JI28" i="4"/>
  <c r="JK28" i="4"/>
  <c r="HU28" i="4"/>
  <c r="HS28" i="4"/>
  <c r="IK4" i="4" s="1"/>
  <c r="IS4" i="4"/>
  <c r="GZ28" i="4"/>
  <c r="ET4" i="4"/>
  <c r="DN4" i="4"/>
  <c r="CK4" i="4"/>
  <c r="BP4" i="4"/>
  <c r="AT28" i="4"/>
  <c r="AS4" i="4"/>
  <c r="AU4" i="4" s="1"/>
  <c r="O28" i="4"/>
  <c r="P4" i="4" s="1"/>
  <c r="MN34" i="3"/>
  <c r="MO34" i="3" s="1"/>
  <c r="MP34" i="3" s="1"/>
  <c r="MD27" i="3"/>
  <c r="MG34" i="3"/>
  <c r="MD26" i="3"/>
  <c r="IC4" i="4"/>
  <c r="HT27" i="3"/>
  <c r="JW26" i="3"/>
  <c r="JX27" i="3" s="1"/>
  <c r="IB4" i="4"/>
  <c r="HG26" i="3"/>
  <c r="HP25" i="3"/>
  <c r="HR25" i="3" s="1"/>
  <c r="IG25" i="3"/>
  <c r="IQ25" i="3"/>
  <c r="IG24" i="3"/>
  <c r="HP24" i="3"/>
  <c r="HR24" i="3" s="1"/>
  <c r="Q24" i="3"/>
  <c r="R24" i="3"/>
  <c r="IG23" i="3"/>
  <c r="HP23" i="3"/>
  <c r="HR23" i="3" s="1"/>
  <c r="HP22" i="3"/>
  <c r="HR22" i="3" s="1"/>
  <c r="IG22" i="3"/>
  <c r="IG21" i="3"/>
  <c r="HP21" i="3"/>
  <c r="HR21" i="3" s="1"/>
  <c r="HP20" i="3"/>
  <c r="HR20" i="3" s="1"/>
  <c r="IG20" i="3"/>
  <c r="FM36" i="3"/>
  <c r="FP36" i="3" s="1"/>
  <c r="F20" i="3" s="1"/>
  <c r="FP20" i="3"/>
  <c r="J20" i="3"/>
  <c r="I20" i="3"/>
  <c r="IG19" i="3"/>
  <c r="HP19" i="3"/>
  <c r="HR19" i="3" s="1"/>
  <c r="IG18" i="3"/>
  <c r="HP18" i="3"/>
  <c r="HR18" i="3" s="1"/>
  <c r="IG17" i="3"/>
  <c r="HP17" i="3"/>
  <c r="HR17" i="3" s="1"/>
  <c r="L17" i="3"/>
  <c r="M17" i="3"/>
  <c r="IG16" i="3"/>
  <c r="HP16" i="3"/>
  <c r="HR16" i="3" s="1"/>
  <c r="HP15" i="3"/>
  <c r="HR15" i="3" s="1"/>
  <c r="IG15" i="3"/>
  <c r="IG14" i="3"/>
  <c r="HP14" i="3"/>
  <c r="HR14" i="3" s="1"/>
  <c r="HP13" i="3"/>
  <c r="HR13" i="3" s="1"/>
  <c r="IG13" i="3"/>
  <c r="II12" i="3"/>
  <c r="IQ12" i="3"/>
  <c r="IK12" i="3"/>
  <c r="IS12" i="3"/>
  <c r="IW12" i="3"/>
  <c r="IU12" i="3"/>
  <c r="JU12" i="3"/>
  <c r="HZ12" i="3"/>
  <c r="LJ12" i="3" s="1"/>
  <c r="J17" i="3"/>
  <c r="I17" i="3"/>
  <c r="G17" i="3"/>
  <c r="CG16" i="3" s="1"/>
  <c r="CH16" i="3" s="1"/>
  <c r="CF16" i="3"/>
  <c r="CI16" i="3" s="1"/>
  <c r="CJ16" i="3" s="1"/>
  <c r="MF11" i="3"/>
  <c r="MD11" i="3"/>
  <c r="MC29" i="3"/>
  <c r="HP11" i="3"/>
  <c r="HR11" i="3" s="1"/>
  <c r="IG11" i="3"/>
  <c r="P11" i="3"/>
  <c r="O11" i="3"/>
  <c r="Q11" i="3"/>
  <c r="JU10" i="3"/>
  <c r="HZ10" i="3"/>
  <c r="LJ10" i="3" s="1"/>
  <c r="IK10" i="3"/>
  <c r="IQ10" i="3"/>
  <c r="IU10" i="3"/>
  <c r="IW10" i="3"/>
  <c r="IS10" i="3"/>
  <c r="II10" i="3"/>
  <c r="AA11" i="3"/>
  <c r="AA12" i="3"/>
  <c r="IG9" i="3"/>
  <c r="HP9" i="3"/>
  <c r="HR9" i="3" s="1"/>
  <c r="I19" i="3"/>
  <c r="J19" i="3"/>
  <c r="I16" i="3"/>
  <c r="J16" i="3"/>
  <c r="AJ12" i="3"/>
  <c r="AJ13" i="3"/>
  <c r="G16" i="3"/>
  <c r="CG15" i="3" s="1"/>
  <c r="CH15" i="3" s="1"/>
  <c r="AJ9" i="3"/>
  <c r="CF15" i="3"/>
  <c r="CI15" i="3" s="1"/>
  <c r="CJ15" i="3" s="1"/>
  <c r="I15" i="3"/>
  <c r="J15" i="3"/>
  <c r="AI12" i="3"/>
  <c r="AI13" i="3"/>
  <c r="AI9" i="3"/>
  <c r="CF14" i="3"/>
  <c r="CI14" i="3" s="1"/>
  <c r="CJ14" i="3" s="1"/>
  <c r="G15" i="3"/>
  <c r="CG14" i="3" s="1"/>
  <c r="CH14" i="3" s="1"/>
  <c r="AH12" i="3"/>
  <c r="AH13" i="3"/>
  <c r="K7" i="3"/>
  <c r="L9" i="3"/>
  <c r="HP8" i="3"/>
  <c r="HR8" i="3" s="1"/>
  <c r="IG8" i="3"/>
  <c r="I8" i="3"/>
  <c r="J8" i="3"/>
  <c r="G8" i="3"/>
  <c r="CG8" i="3" s="1"/>
  <c r="CH8" i="3" s="1"/>
  <c r="CF8" i="3"/>
  <c r="CI8" i="3" s="1"/>
  <c r="CJ8" i="3" s="1"/>
  <c r="FC9" i="3"/>
  <c r="FD8" i="3" s="1"/>
  <c r="FF8" i="3" s="1"/>
  <c r="FE8" i="3"/>
  <c r="I18" i="3"/>
  <c r="J18" i="3"/>
  <c r="G18" i="3"/>
  <c r="CF17" i="3"/>
  <c r="CI17" i="3" s="1"/>
  <c r="CJ17" i="3" s="1"/>
  <c r="J14" i="3"/>
  <c r="I14" i="3"/>
  <c r="H21" i="3"/>
  <c r="AH9" i="3"/>
  <c r="G14" i="3"/>
  <c r="CG13" i="3" s="1"/>
  <c r="CH13" i="3" s="1"/>
  <c r="F21" i="3"/>
  <c r="CF13" i="3"/>
  <c r="CI13" i="3" s="1"/>
  <c r="CJ13" i="3" s="1"/>
  <c r="M8" i="3"/>
  <c r="L8" i="3"/>
  <c r="JJ7" i="3"/>
  <c r="KJ8" i="3" s="1"/>
  <c r="JG26" i="3"/>
  <c r="IG7" i="3"/>
  <c r="HP7" i="3"/>
  <c r="HR7" i="3" s="1"/>
  <c r="FE7" i="3"/>
  <c r="FD7" i="3"/>
  <c r="FF7" i="3" s="1"/>
  <c r="JH26" i="3"/>
  <c r="JK26" i="3" s="1"/>
  <c r="JI6" i="3" s="1"/>
  <c r="JK6" i="3" s="1"/>
  <c r="KK7" i="3" s="1"/>
  <c r="JJ6" i="3"/>
  <c r="KJ7" i="3" s="1"/>
  <c r="KS7" i="3" s="1"/>
  <c r="JF26" i="3"/>
  <c r="K25" i="3" s="1"/>
  <c r="LO6" i="3"/>
  <c r="LI26" i="3"/>
  <c r="IG6" i="3"/>
  <c r="HP6" i="3"/>
  <c r="HR6" i="3" s="1"/>
  <c r="KQ7" i="3"/>
  <c r="IM26" i="3"/>
  <c r="I11" i="3"/>
  <c r="Z11" i="3"/>
  <c r="X11" i="3"/>
  <c r="Y11" i="3"/>
  <c r="G11" i="3"/>
  <c r="X8" i="3"/>
  <c r="Y8" i="3"/>
  <c r="Z8" i="3"/>
  <c r="CF22" i="3"/>
  <c r="CI22" i="3" s="1"/>
  <c r="CJ22" i="3" s="1"/>
  <c r="J10" i="3"/>
  <c r="I10" i="3"/>
  <c r="H7" i="3"/>
  <c r="CF10" i="3"/>
  <c r="CI10" i="3" s="1"/>
  <c r="CJ10" i="3" s="1"/>
  <c r="F7" i="3"/>
  <c r="G10" i="3"/>
  <c r="CG10" i="3" s="1"/>
  <c r="CH10" i="3" s="1"/>
  <c r="FE6" i="3"/>
  <c r="FD6" i="3"/>
  <c r="FF6" i="3" s="1"/>
  <c r="KS4" i="3"/>
  <c r="KU4" i="3"/>
  <c r="IL4" i="3"/>
  <c r="IN4" i="3" s="1"/>
  <c r="IJ4" i="3"/>
  <c r="DO3" i="3"/>
  <c r="DZ3" i="3"/>
  <c r="EM3" i="3" s="1"/>
  <c r="DM3" i="3"/>
  <c r="DV3" i="3"/>
  <c r="EI3" i="3" s="1"/>
  <c r="G19" i="3"/>
  <c r="AA8" i="3"/>
  <c r="AJ8" i="3"/>
  <c r="AI8" i="3"/>
  <c r="AH8" i="3"/>
  <c r="LL26" i="3"/>
  <c r="KB4" i="2"/>
  <c r="JI28" i="2"/>
  <c r="GQ27" i="2"/>
  <c r="GQ26" i="2"/>
  <c r="GQ25" i="2"/>
  <c r="GQ24" i="2"/>
  <c r="GQ23" i="2"/>
  <c r="GQ22" i="2"/>
  <c r="GQ21" i="2"/>
  <c r="GQ20" i="2"/>
  <c r="GQ19" i="2"/>
  <c r="GQ18" i="2"/>
  <c r="GQ17" i="2"/>
  <c r="GQ16" i="2"/>
  <c r="GQ15" i="2"/>
  <c r="GQ14" i="2"/>
  <c r="GQ13" i="2"/>
  <c r="GQ12" i="2"/>
  <c r="GQ11" i="2"/>
  <c r="GQ10" i="2"/>
  <c r="GQ9" i="2"/>
  <c r="GQ8" i="2"/>
  <c r="GQ7" i="2"/>
  <c r="GQ6" i="2"/>
  <c r="GQ5" i="2"/>
  <c r="GQ4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T6" i="2"/>
  <c r="AT5" i="2"/>
  <c r="AT4" i="2"/>
  <c r="HB27" i="10" l="1"/>
  <c r="HT27" i="10"/>
  <c r="IT27" i="10"/>
  <c r="IU26" i="10"/>
  <c r="IW26" i="10" s="1"/>
  <c r="IV26" i="10"/>
  <c r="IU25" i="10"/>
  <c r="IW25" i="10" s="1"/>
  <c r="IV25" i="10"/>
  <c r="HT24" i="10"/>
  <c r="HB24" i="10"/>
  <c r="IT24" i="10"/>
  <c r="HB23" i="10"/>
  <c r="HT23" i="10"/>
  <c r="IT23" i="10"/>
  <c r="IU22" i="10"/>
  <c r="IW22" i="10" s="1"/>
  <c r="IV22" i="10"/>
  <c r="IU21" i="10"/>
  <c r="IU20" i="10"/>
  <c r="IW20" i="10" s="1"/>
  <c r="IV20" i="10"/>
  <c r="IU19" i="10"/>
  <c r="IU18" i="10"/>
  <c r="IW18" i="10" s="1"/>
  <c r="IV18" i="10"/>
  <c r="IU16" i="10"/>
  <c r="IU14" i="10"/>
  <c r="IU13" i="10"/>
  <c r="IW13" i="10" s="1"/>
  <c r="IV13" i="10"/>
  <c r="IU12" i="10"/>
  <c r="IW12" i="10" s="1"/>
  <c r="IV12" i="10"/>
  <c r="IU11" i="10"/>
  <c r="IW11" i="10" s="1"/>
  <c r="IV11" i="10"/>
  <c r="IU10" i="10"/>
  <c r="IW10" i="10" s="1"/>
  <c r="IV10" i="10"/>
  <c r="IU9" i="10"/>
  <c r="IW9" i="10" s="1"/>
  <c r="IV9" i="10"/>
  <c r="IY8" i="10"/>
  <c r="JB8" i="10"/>
  <c r="HV8" i="10"/>
  <c r="HW8" i="10"/>
  <c r="IU7" i="10"/>
  <c r="IW7" i="10" s="1"/>
  <c r="IV7" i="10"/>
  <c r="IU6" i="10"/>
  <c r="IW6" i="10" s="1"/>
  <c r="IV6" i="10"/>
  <c r="IU5" i="10"/>
  <c r="IW5" i="10" s="1"/>
  <c r="IV5" i="10"/>
  <c r="JV28" i="10"/>
  <c r="JZ27" i="9"/>
  <c r="JZ23" i="9"/>
  <c r="JZ24" i="9"/>
  <c r="JZ21" i="9"/>
  <c r="JZ25" i="9"/>
  <c r="JZ9" i="9"/>
  <c r="JZ12" i="9"/>
  <c r="JZ11" i="9"/>
  <c r="JZ10" i="9"/>
  <c r="JZ22" i="9"/>
  <c r="JZ6" i="9"/>
  <c r="JZ7" i="9"/>
  <c r="JZ8" i="9"/>
  <c r="N9" i="9"/>
  <c r="JZ13" i="9"/>
  <c r="JZ14" i="9"/>
  <c r="JZ15" i="9"/>
  <c r="JZ16" i="9"/>
  <c r="JX27" i="9"/>
  <c r="JX25" i="9"/>
  <c r="JX12" i="9"/>
  <c r="JX21" i="9"/>
  <c r="JX10" i="9"/>
  <c r="JX11" i="9"/>
  <c r="JX23" i="9"/>
  <c r="JX9" i="9"/>
  <c r="JX22" i="9"/>
  <c r="JX6" i="9"/>
  <c r="JX7" i="9"/>
  <c r="N8" i="9"/>
  <c r="JX8" i="9"/>
  <c r="JX13" i="9"/>
  <c r="JX14" i="9"/>
  <c r="JX15" i="9"/>
  <c r="JX16" i="9"/>
  <c r="JX24" i="9"/>
  <c r="IS28" i="10"/>
  <c r="IU4" i="10"/>
  <c r="IV4" i="10" s="1"/>
  <c r="ET28" i="10"/>
  <c r="DO4" i="10"/>
  <c r="DN28" i="10"/>
  <c r="CK28" i="10"/>
  <c r="BP28" i="10"/>
  <c r="AU28" i="10"/>
  <c r="AL7" i="10" s="1"/>
  <c r="AS28" i="10" s="1"/>
  <c r="P7" i="10"/>
  <c r="P14" i="10"/>
  <c r="P18" i="10"/>
  <c r="P20" i="10"/>
  <c r="P24" i="10"/>
  <c r="P27" i="10"/>
  <c r="P8" i="10"/>
  <c r="DY8" i="10" s="1"/>
  <c r="P12" i="10"/>
  <c r="P13" i="10"/>
  <c r="P15" i="10"/>
  <c r="P17" i="10"/>
  <c r="P5" i="10"/>
  <c r="P6" i="10"/>
  <c r="P9" i="10"/>
  <c r="P10" i="10"/>
  <c r="P11" i="10"/>
  <c r="P16" i="10"/>
  <c r="P19" i="10"/>
  <c r="P21" i="10"/>
  <c r="P22" i="10"/>
  <c r="P23" i="10"/>
  <c r="P25" i="10"/>
  <c r="P26" i="10"/>
  <c r="MG26" i="9"/>
  <c r="MG27" i="9"/>
  <c r="MG34" i="9"/>
  <c r="MN34" i="9"/>
  <c r="MO34" i="9" s="1"/>
  <c r="MP34" i="9" s="1"/>
  <c r="MD26" i="9"/>
  <c r="MD27" i="9"/>
  <c r="JI7" i="9"/>
  <c r="JK7" i="9" s="1"/>
  <c r="KK8" i="9" s="1"/>
  <c r="JI8" i="9"/>
  <c r="JK8" i="9" s="1"/>
  <c r="KK9" i="9" s="1"/>
  <c r="JI10" i="9"/>
  <c r="JK10" i="9" s="1"/>
  <c r="KK11" i="9" s="1"/>
  <c r="JI13" i="9"/>
  <c r="JK13" i="9" s="1"/>
  <c r="KK14" i="9" s="1"/>
  <c r="JI14" i="9"/>
  <c r="JK14" i="9" s="1"/>
  <c r="KK15" i="9" s="1"/>
  <c r="JI15" i="9"/>
  <c r="JK15" i="9" s="1"/>
  <c r="KK16" i="9" s="1"/>
  <c r="JI16" i="9"/>
  <c r="JK16" i="9" s="1"/>
  <c r="KK17" i="9" s="1"/>
  <c r="JI17" i="9"/>
  <c r="JK17" i="9" s="1"/>
  <c r="KK18" i="9" s="1"/>
  <c r="JI18" i="9"/>
  <c r="JK18" i="9" s="1"/>
  <c r="KK19" i="9" s="1"/>
  <c r="JI19" i="9"/>
  <c r="JK19" i="9" s="1"/>
  <c r="KK20" i="9" s="1"/>
  <c r="JI20" i="9"/>
  <c r="JK20" i="9" s="1"/>
  <c r="KK21" i="9" s="1"/>
  <c r="JI21" i="9"/>
  <c r="JK21" i="9" s="1"/>
  <c r="KK22" i="9" s="1"/>
  <c r="JI22" i="9"/>
  <c r="JK22" i="9" s="1"/>
  <c r="KK23" i="9" s="1"/>
  <c r="JI23" i="9"/>
  <c r="JK23" i="9" s="1"/>
  <c r="KK24" i="9" s="1"/>
  <c r="JI24" i="9"/>
  <c r="JK24" i="9" s="1"/>
  <c r="KK25" i="9" s="1"/>
  <c r="JI25" i="9"/>
  <c r="JK25" i="9" s="1"/>
  <c r="KK26" i="9" s="1"/>
  <c r="KU26" i="9" s="1"/>
  <c r="KK27" i="9"/>
  <c r="JI12" i="9"/>
  <c r="JK12" i="9" s="1"/>
  <c r="KK13" i="9" s="1"/>
  <c r="JI9" i="9"/>
  <c r="JK9" i="9" s="1"/>
  <c r="KK10" i="9" s="1"/>
  <c r="JI11" i="9"/>
  <c r="JK11" i="9" s="1"/>
  <c r="KK12" i="9" s="1"/>
  <c r="HP26" i="9"/>
  <c r="IG26" i="9"/>
  <c r="KC25" i="9"/>
  <c r="IW25" i="9"/>
  <c r="LA26" i="9" s="1"/>
  <c r="II25" i="9"/>
  <c r="IU25" i="9"/>
  <c r="KY26" i="9" s="1"/>
  <c r="IK25" i="9"/>
  <c r="KO26" i="9" s="1"/>
  <c r="IS25" i="9"/>
  <c r="KW26" i="9" s="1"/>
  <c r="HZ24" i="9"/>
  <c r="LJ24" i="9" s="1"/>
  <c r="JU24" i="9"/>
  <c r="IU24" i="9"/>
  <c r="KY25" i="9" s="1"/>
  <c r="IK24" i="9"/>
  <c r="KO25" i="9" s="1"/>
  <c r="IS24" i="9"/>
  <c r="KW25" i="9" s="1"/>
  <c r="II24" i="9"/>
  <c r="IQ24" i="9"/>
  <c r="KU25" i="9" s="1"/>
  <c r="IW24" i="9"/>
  <c r="LA25" i="9" s="1"/>
  <c r="JU23" i="9"/>
  <c r="HZ23" i="9"/>
  <c r="LJ23" i="9" s="1"/>
  <c r="IQ23" i="9"/>
  <c r="KU24" i="9" s="1"/>
  <c r="IK23" i="9"/>
  <c r="KO24" i="9" s="1"/>
  <c r="IW23" i="9"/>
  <c r="LA24" i="9" s="1"/>
  <c r="II23" i="9"/>
  <c r="IS23" i="9"/>
  <c r="KW24" i="9" s="1"/>
  <c r="IU23" i="9"/>
  <c r="KY24" i="9" s="1"/>
  <c r="KC22" i="9"/>
  <c r="KM23" i="9"/>
  <c r="IY22" i="9"/>
  <c r="HZ21" i="9"/>
  <c r="LJ21" i="9" s="1"/>
  <c r="JU21" i="9"/>
  <c r="IQ21" i="9"/>
  <c r="KU22" i="9" s="1"/>
  <c r="II21" i="9"/>
  <c r="IU21" i="9"/>
  <c r="KY22" i="9" s="1"/>
  <c r="IK21" i="9"/>
  <c r="KO22" i="9" s="1"/>
  <c r="IW21" i="9"/>
  <c r="LA22" i="9" s="1"/>
  <c r="IS21" i="9"/>
  <c r="KW22" i="9" s="1"/>
  <c r="HZ20" i="9"/>
  <c r="LJ20" i="9" s="1"/>
  <c r="JU20" i="9"/>
  <c r="II20" i="9"/>
  <c r="IK20" i="9"/>
  <c r="KO21" i="9" s="1"/>
  <c r="IQ20" i="9"/>
  <c r="KU21" i="9" s="1"/>
  <c r="IS20" i="9"/>
  <c r="KW21" i="9" s="1"/>
  <c r="IU20" i="9"/>
  <c r="KY21" i="9" s="1"/>
  <c r="IW20" i="9"/>
  <c r="LA21" i="9" s="1"/>
  <c r="G20" i="9"/>
  <c r="CG18" i="9" s="1"/>
  <c r="CH18" i="9" s="1"/>
  <c r="CF18" i="9"/>
  <c r="CI18" i="9" s="1"/>
  <c r="CJ18" i="9" s="1"/>
  <c r="HZ19" i="9"/>
  <c r="LJ19" i="9" s="1"/>
  <c r="JU19" i="9"/>
  <c r="II19" i="9"/>
  <c r="IK19" i="9"/>
  <c r="KO20" i="9" s="1"/>
  <c r="IQ19" i="9"/>
  <c r="KU20" i="9" s="1"/>
  <c r="IS19" i="9"/>
  <c r="KW20" i="9" s="1"/>
  <c r="IU19" i="9"/>
  <c r="KY20" i="9" s="1"/>
  <c r="IW19" i="9"/>
  <c r="LA20" i="9" s="1"/>
  <c r="HZ18" i="9"/>
  <c r="LJ18" i="9" s="1"/>
  <c r="JU18" i="9"/>
  <c r="II18" i="9"/>
  <c r="IK18" i="9"/>
  <c r="KO19" i="9" s="1"/>
  <c r="IQ18" i="9"/>
  <c r="KU19" i="9" s="1"/>
  <c r="IS18" i="9"/>
  <c r="KW19" i="9" s="1"/>
  <c r="IU18" i="9"/>
  <c r="KY19" i="9" s="1"/>
  <c r="IW18" i="9"/>
  <c r="LA19" i="9" s="1"/>
  <c r="II17" i="9"/>
  <c r="IK17" i="9"/>
  <c r="KO18" i="9" s="1"/>
  <c r="IQ17" i="9"/>
  <c r="KU18" i="9" s="1"/>
  <c r="IS17" i="9"/>
  <c r="KW18" i="9" s="1"/>
  <c r="IU17" i="9"/>
  <c r="KY18" i="9" s="1"/>
  <c r="IW17" i="9"/>
  <c r="LA18" i="9" s="1"/>
  <c r="HZ17" i="9"/>
  <c r="LJ17" i="9" s="1"/>
  <c r="JU17" i="9"/>
  <c r="HZ16" i="9"/>
  <c r="LJ16" i="9" s="1"/>
  <c r="JU16" i="9"/>
  <c r="II16" i="9"/>
  <c r="IK16" i="9"/>
  <c r="KO17" i="9" s="1"/>
  <c r="IQ16" i="9"/>
  <c r="KU17" i="9" s="1"/>
  <c r="IS16" i="9"/>
  <c r="KW17" i="9" s="1"/>
  <c r="IU16" i="9"/>
  <c r="KY17" i="9" s="1"/>
  <c r="IW16" i="9"/>
  <c r="LA17" i="9" s="1"/>
  <c r="HZ15" i="9"/>
  <c r="LJ15" i="9" s="1"/>
  <c r="JU15" i="9"/>
  <c r="II15" i="9"/>
  <c r="IK15" i="9"/>
  <c r="KO16" i="9" s="1"/>
  <c r="IQ15" i="9"/>
  <c r="KU16" i="9" s="1"/>
  <c r="IS15" i="9"/>
  <c r="KW16" i="9" s="1"/>
  <c r="IU15" i="9"/>
  <c r="KY16" i="9" s="1"/>
  <c r="IW15" i="9"/>
  <c r="LA16" i="9" s="1"/>
  <c r="II14" i="9"/>
  <c r="IK14" i="9"/>
  <c r="KO15" i="9" s="1"/>
  <c r="IQ14" i="9"/>
  <c r="KU15" i="9" s="1"/>
  <c r="IS14" i="9"/>
  <c r="KW15" i="9" s="1"/>
  <c r="IU14" i="9"/>
  <c r="KY15" i="9" s="1"/>
  <c r="IW14" i="9"/>
  <c r="LA15" i="9" s="1"/>
  <c r="HZ14" i="9"/>
  <c r="LJ14" i="9" s="1"/>
  <c r="JU14" i="9"/>
  <c r="II13" i="9"/>
  <c r="IK13" i="9"/>
  <c r="KO14" i="9" s="1"/>
  <c r="IQ13" i="9"/>
  <c r="KU14" i="9" s="1"/>
  <c r="IS13" i="9"/>
  <c r="KW14" i="9" s="1"/>
  <c r="IU13" i="9"/>
  <c r="KY14" i="9" s="1"/>
  <c r="IW13" i="9"/>
  <c r="LA14" i="9" s="1"/>
  <c r="HZ13" i="9"/>
  <c r="LJ13" i="9" s="1"/>
  <c r="JU13" i="9"/>
  <c r="KC12" i="9"/>
  <c r="KM13" i="9"/>
  <c r="IY12" i="9"/>
  <c r="MD29" i="9"/>
  <c r="MN29" i="9"/>
  <c r="MO29" i="9" s="1"/>
  <c r="MP29" i="9" s="1"/>
  <c r="MN11" i="9"/>
  <c r="MO11" i="9" s="1"/>
  <c r="MP11" i="9" s="1"/>
  <c r="MF29" i="9"/>
  <c r="MG29" i="9" s="1"/>
  <c r="MG11" i="9"/>
  <c r="JU11" i="9"/>
  <c r="HZ11" i="9"/>
  <c r="LJ11" i="9" s="1"/>
  <c r="II11" i="9"/>
  <c r="IK11" i="9"/>
  <c r="KO12" i="9" s="1"/>
  <c r="IU11" i="9"/>
  <c r="KY12" i="9" s="1"/>
  <c r="IQ11" i="9"/>
  <c r="KU12" i="9" s="1"/>
  <c r="IS11" i="9"/>
  <c r="KW12" i="9" s="1"/>
  <c r="IW11" i="9"/>
  <c r="LA12" i="9" s="1"/>
  <c r="JU10" i="9"/>
  <c r="HZ10" i="9"/>
  <c r="LJ10" i="9" s="1"/>
  <c r="II10" i="9"/>
  <c r="IQ10" i="9"/>
  <c r="KU11" i="9" s="1"/>
  <c r="IU10" i="9"/>
  <c r="KY11" i="9" s="1"/>
  <c r="IK10" i="9"/>
  <c r="KO11" i="9" s="1"/>
  <c r="IW10" i="9"/>
  <c r="LA11" i="9" s="1"/>
  <c r="IS10" i="9"/>
  <c r="KW11" i="9" s="1"/>
  <c r="IS9" i="9"/>
  <c r="KW10" i="9" s="1"/>
  <c r="II9" i="9"/>
  <c r="IU9" i="9"/>
  <c r="KY10" i="9" s="1"/>
  <c r="IQ9" i="9"/>
  <c r="KU10" i="9" s="1"/>
  <c r="IW9" i="9"/>
  <c r="LA10" i="9" s="1"/>
  <c r="IK9" i="9"/>
  <c r="KO10" i="9" s="1"/>
  <c r="HZ9" i="9"/>
  <c r="LJ9" i="9" s="1"/>
  <c r="JU9" i="9"/>
  <c r="II8" i="9"/>
  <c r="IK8" i="9"/>
  <c r="KO9" i="9" s="1"/>
  <c r="IQ8" i="9"/>
  <c r="KU9" i="9" s="1"/>
  <c r="IS8" i="9"/>
  <c r="KW9" i="9" s="1"/>
  <c r="IU8" i="9"/>
  <c r="KY9" i="9" s="1"/>
  <c r="IW8" i="9"/>
  <c r="LA9" i="9" s="1"/>
  <c r="HZ8" i="9"/>
  <c r="LJ8" i="9" s="1"/>
  <c r="JU8" i="9"/>
  <c r="KQ8" i="9"/>
  <c r="KQ27" i="9" s="1"/>
  <c r="KS8" i="9"/>
  <c r="KS27" i="9" s="1"/>
  <c r="JJ26" i="9"/>
  <c r="KJ27" i="9" s="1"/>
  <c r="MC35" i="9"/>
  <c r="N25" i="9"/>
  <c r="II7" i="9"/>
  <c r="IK7" i="9"/>
  <c r="KO8" i="9" s="1"/>
  <c r="IQ7" i="9"/>
  <c r="KU8" i="9" s="1"/>
  <c r="IS7" i="9"/>
  <c r="KW8" i="9" s="1"/>
  <c r="IU7" i="9"/>
  <c r="KY8" i="9" s="1"/>
  <c r="IW7" i="9"/>
  <c r="LA8" i="9" s="1"/>
  <c r="HZ7" i="9"/>
  <c r="LJ7" i="9" s="1"/>
  <c r="JU7" i="9"/>
  <c r="KS28" i="9"/>
  <c r="N17" i="9"/>
  <c r="HZ6" i="9"/>
  <c r="LJ6" i="9" s="1"/>
  <c r="JU6" i="9"/>
  <c r="HR26" i="9"/>
  <c r="II6" i="9"/>
  <c r="IK6" i="9"/>
  <c r="IQ6" i="9"/>
  <c r="IS6" i="9"/>
  <c r="IU6" i="9"/>
  <c r="IW6" i="9"/>
  <c r="N16" i="9"/>
  <c r="IM27" i="9"/>
  <c r="AJ15" i="9" s="1"/>
  <c r="KP28" i="9"/>
  <c r="KQ28" i="9" s="1"/>
  <c r="K16" i="9"/>
  <c r="AJ17" i="9"/>
  <c r="I7" i="9"/>
  <c r="J7" i="9"/>
  <c r="H9" i="9"/>
  <c r="G7" i="9"/>
  <c r="CG7" i="9" s="1"/>
  <c r="CH7" i="9" s="1"/>
  <c r="CF7" i="9"/>
  <c r="CI7" i="9" s="1"/>
  <c r="CJ7" i="9" s="1"/>
  <c r="F9" i="9"/>
  <c r="J21" i="9"/>
  <c r="I21" i="9"/>
  <c r="G21" i="9"/>
  <c r="CG19" i="9" s="1"/>
  <c r="CH19" i="9" s="1"/>
  <c r="CF19" i="9"/>
  <c r="CI19" i="9" s="1"/>
  <c r="CJ19" i="9" s="1"/>
  <c r="KW4" i="9"/>
  <c r="KY4" i="9"/>
  <c r="IP4" i="9"/>
  <c r="IR4" i="9" s="1"/>
  <c r="IT4" i="9"/>
  <c r="FQ3" i="9"/>
  <c r="GE3" i="9" s="1"/>
  <c r="GR3" i="9" s="1"/>
  <c r="EZ3" i="9"/>
  <c r="EV3" i="9"/>
  <c r="FM3" i="9"/>
  <c r="GA3" i="9" s="1"/>
  <c r="GN3" i="9" s="1"/>
  <c r="KB4" i="10"/>
  <c r="M28" i="10"/>
  <c r="R11" i="9"/>
  <c r="GM24" i="10"/>
  <c r="GM27" i="10"/>
  <c r="GM23" i="10"/>
  <c r="DL4" i="10"/>
  <c r="CM4" i="10"/>
  <c r="DY4" i="10"/>
  <c r="P28" i="10"/>
  <c r="FE6" i="9"/>
  <c r="FF6" i="9" s="1"/>
  <c r="FD8" i="9"/>
  <c r="FE8" i="9"/>
  <c r="FE7" i="9"/>
  <c r="FD7" i="9"/>
  <c r="FF7" i="9" s="1"/>
  <c r="HT27" i="8"/>
  <c r="IT27" i="8"/>
  <c r="HB27" i="8"/>
  <c r="IU26" i="8"/>
  <c r="IU25" i="8"/>
  <c r="HB24" i="8"/>
  <c r="HT24" i="8"/>
  <c r="IT24" i="8"/>
  <c r="HB23" i="8"/>
  <c r="HT23" i="8"/>
  <c r="IT23" i="8"/>
  <c r="IU22" i="8"/>
  <c r="IW22" i="8" s="1"/>
  <c r="IV22" i="8"/>
  <c r="IU21" i="8"/>
  <c r="IW21" i="8" s="1"/>
  <c r="IV21" i="8"/>
  <c r="IU20" i="8"/>
  <c r="IU19" i="8"/>
  <c r="IW19" i="8" s="1"/>
  <c r="IV19" i="8"/>
  <c r="IU18" i="8"/>
  <c r="IW18" i="8" s="1"/>
  <c r="IV18" i="8"/>
  <c r="IU16" i="8"/>
  <c r="IU14" i="8"/>
  <c r="IW14" i="8" s="1"/>
  <c r="IV14" i="8"/>
  <c r="IU13" i="8"/>
  <c r="IW13" i="8" s="1"/>
  <c r="IV13" i="8"/>
  <c r="IU12" i="8"/>
  <c r="IW12" i="8" s="1"/>
  <c r="IV12" i="8"/>
  <c r="IU11" i="8"/>
  <c r="IU10" i="8"/>
  <c r="IW10" i="8" s="1"/>
  <c r="IV10" i="8"/>
  <c r="IU9" i="8"/>
  <c r="HV8" i="8"/>
  <c r="HW8" i="8"/>
  <c r="IY8" i="8"/>
  <c r="JB8" i="8"/>
  <c r="IU7" i="8"/>
  <c r="IW7" i="8" s="1"/>
  <c r="IV7" i="8"/>
  <c r="IU6" i="8"/>
  <c r="IW6" i="8" s="1"/>
  <c r="IV6" i="8"/>
  <c r="IU5" i="8"/>
  <c r="IW5" i="8" s="1"/>
  <c r="IV5" i="8"/>
  <c r="JV28" i="8"/>
  <c r="IU4" i="8"/>
  <c r="IV4" i="8"/>
  <c r="IS17" i="8"/>
  <c r="ET28" i="8"/>
  <c r="DO4" i="8"/>
  <c r="DN28" i="8"/>
  <c r="DM4" i="8"/>
  <c r="AU28" i="8"/>
  <c r="AL7" i="8" s="1"/>
  <c r="AS28" i="8" s="1"/>
  <c r="BP28" i="8"/>
  <c r="CK28" i="8"/>
  <c r="JI9" i="7"/>
  <c r="JK9" i="7" s="1"/>
  <c r="KK10" i="7" s="1"/>
  <c r="JI11" i="7"/>
  <c r="JK11" i="7" s="1"/>
  <c r="KK12" i="7" s="1"/>
  <c r="JI23" i="7"/>
  <c r="JK23" i="7" s="1"/>
  <c r="JI12" i="7"/>
  <c r="JK12" i="7" s="1"/>
  <c r="KK13" i="7" s="1"/>
  <c r="JI14" i="7"/>
  <c r="JK14" i="7" s="1"/>
  <c r="KK15" i="7" s="1"/>
  <c r="JI16" i="7"/>
  <c r="JK16" i="7" s="1"/>
  <c r="KK17" i="7" s="1"/>
  <c r="JI17" i="7"/>
  <c r="JK17" i="7" s="1"/>
  <c r="KK18" i="7" s="1"/>
  <c r="JI21" i="7"/>
  <c r="JK21" i="7" s="1"/>
  <c r="KK22" i="7" s="1"/>
  <c r="JI6" i="7"/>
  <c r="JK6" i="7" s="1"/>
  <c r="KK7" i="7" s="1"/>
  <c r="JI10" i="7"/>
  <c r="JK10" i="7" s="1"/>
  <c r="KK11" i="7" s="1"/>
  <c r="JI20" i="7"/>
  <c r="JK20" i="7" s="1"/>
  <c r="KK21" i="7" s="1"/>
  <c r="JI8" i="7"/>
  <c r="JK8" i="7" s="1"/>
  <c r="KK9" i="7" s="1"/>
  <c r="JI15" i="7"/>
  <c r="JK15" i="7" s="1"/>
  <c r="KK16" i="7" s="1"/>
  <c r="JI18" i="7"/>
  <c r="JK18" i="7" s="1"/>
  <c r="KK19" i="7" s="1"/>
  <c r="JI24" i="7"/>
  <c r="JK24" i="7" s="1"/>
  <c r="KK25" i="7" s="1"/>
  <c r="JI22" i="7"/>
  <c r="JK22" i="7" s="1"/>
  <c r="KK23" i="7" s="1"/>
  <c r="JI25" i="7"/>
  <c r="JK25" i="7" s="1"/>
  <c r="KK26" i="7" s="1"/>
  <c r="KU26" i="7" s="1"/>
  <c r="JI19" i="7"/>
  <c r="JK19" i="7" s="1"/>
  <c r="KK20" i="7" s="1"/>
  <c r="JI13" i="7"/>
  <c r="JK13" i="7" s="1"/>
  <c r="KK14" i="7" s="1"/>
  <c r="KK27" i="7"/>
  <c r="ID4" i="8"/>
  <c r="IJ4" i="8"/>
  <c r="MG27" i="7"/>
  <c r="MN34" i="7"/>
  <c r="MO34" i="7" s="1"/>
  <c r="MP34" i="7" s="1"/>
  <c r="MD27" i="7"/>
  <c r="MG34" i="7"/>
  <c r="MG26" i="7"/>
  <c r="MD26" i="7"/>
  <c r="IG26" i="7"/>
  <c r="HP26" i="7"/>
  <c r="JU25" i="7"/>
  <c r="HZ25" i="7"/>
  <c r="LJ25" i="7" s="1"/>
  <c r="IW25" i="7"/>
  <c r="LA26" i="7" s="1"/>
  <c r="II25" i="7"/>
  <c r="IS25" i="7"/>
  <c r="KW26" i="7" s="1"/>
  <c r="IK25" i="7"/>
  <c r="KO26" i="7" s="1"/>
  <c r="IU25" i="7"/>
  <c r="KY26" i="7" s="1"/>
  <c r="IQ24" i="7"/>
  <c r="IK24" i="7"/>
  <c r="IW24" i="7"/>
  <c r="IU24" i="7"/>
  <c r="IS24" i="7"/>
  <c r="II24" i="7"/>
  <c r="JU24" i="7"/>
  <c r="HZ24" i="7"/>
  <c r="LJ24" i="7" s="1"/>
  <c r="KC23" i="7"/>
  <c r="IY23" i="7"/>
  <c r="IU22" i="7"/>
  <c r="KY23" i="7" s="1"/>
  <c r="IK22" i="7"/>
  <c r="KO23" i="7" s="1"/>
  <c r="IQ22" i="7"/>
  <c r="KU23" i="7" s="1"/>
  <c r="II22" i="7"/>
  <c r="IS22" i="7"/>
  <c r="KW23" i="7" s="1"/>
  <c r="IW22" i="7"/>
  <c r="LA23" i="7" s="1"/>
  <c r="JU22" i="7"/>
  <c r="HZ22" i="7"/>
  <c r="LJ22" i="7" s="1"/>
  <c r="IU21" i="7"/>
  <c r="IW21" i="7"/>
  <c r="IK21" i="7"/>
  <c r="II21" i="7"/>
  <c r="IS21" i="7"/>
  <c r="IQ21" i="7"/>
  <c r="JU21" i="7"/>
  <c r="HZ21" i="7"/>
  <c r="LJ21" i="7" s="1"/>
  <c r="IQ20" i="7"/>
  <c r="IU20" i="7"/>
  <c r="IK20" i="7"/>
  <c r="IS20" i="7"/>
  <c r="IW20" i="7"/>
  <c r="II20" i="7"/>
  <c r="HZ20" i="7"/>
  <c r="LJ20" i="7" s="1"/>
  <c r="JU20" i="7"/>
  <c r="G20" i="7"/>
  <c r="CG18" i="7" s="1"/>
  <c r="CH18" i="7" s="1"/>
  <c r="CF18" i="7"/>
  <c r="CI18" i="7" s="1"/>
  <c r="CJ18" i="7" s="1"/>
  <c r="KC19" i="7"/>
  <c r="KM20" i="7"/>
  <c r="IY19" i="7"/>
  <c r="IQ18" i="7"/>
  <c r="IU18" i="7"/>
  <c r="IS18" i="7"/>
  <c r="IW18" i="7"/>
  <c r="II18" i="7"/>
  <c r="IK18" i="7"/>
  <c r="JU18" i="7"/>
  <c r="HZ18" i="7"/>
  <c r="LJ18" i="7" s="1"/>
  <c r="HZ17" i="7"/>
  <c r="LJ17" i="7" s="1"/>
  <c r="JU17" i="7"/>
  <c r="IS17" i="7"/>
  <c r="IW17" i="7"/>
  <c r="IQ17" i="7"/>
  <c r="II17" i="7"/>
  <c r="IU17" i="7"/>
  <c r="IK17" i="7"/>
  <c r="HZ16" i="7"/>
  <c r="LJ16" i="7" s="1"/>
  <c r="JU16" i="7"/>
  <c r="IS16" i="7"/>
  <c r="KW17" i="7" s="1"/>
  <c r="IW16" i="7"/>
  <c r="LA17" i="7" s="1"/>
  <c r="IK16" i="7"/>
  <c r="KO17" i="7" s="1"/>
  <c r="II16" i="7"/>
  <c r="IQ16" i="7"/>
  <c r="KU17" i="7" s="1"/>
  <c r="IU16" i="7"/>
  <c r="KY17" i="7" s="1"/>
  <c r="JU15" i="7"/>
  <c r="HZ15" i="7"/>
  <c r="LJ15" i="7" s="1"/>
  <c r="IK15" i="7"/>
  <c r="IQ15" i="7"/>
  <c r="IU15" i="7"/>
  <c r="II15" i="7"/>
  <c r="IS15" i="7"/>
  <c r="IW15" i="7"/>
  <c r="LA16" i="7" s="1"/>
  <c r="KC14" i="7"/>
  <c r="IY14" i="7"/>
  <c r="KM15" i="7"/>
  <c r="HZ13" i="7"/>
  <c r="LJ13" i="7" s="1"/>
  <c r="JU13" i="7"/>
  <c r="II13" i="7"/>
  <c r="IQ13" i="7"/>
  <c r="KU14" i="7" s="1"/>
  <c r="IU13" i="7"/>
  <c r="KY14" i="7" s="1"/>
  <c r="IS13" i="7"/>
  <c r="KW14" i="7" s="1"/>
  <c r="IK13" i="7"/>
  <c r="KO14" i="7" s="1"/>
  <c r="IW13" i="7"/>
  <c r="LA14" i="7" s="1"/>
  <c r="JU12" i="7"/>
  <c r="HZ12" i="7"/>
  <c r="LJ12" i="7" s="1"/>
  <c r="IK12" i="7"/>
  <c r="KO13" i="7" s="1"/>
  <c r="IS12" i="7"/>
  <c r="KW13" i="7" s="1"/>
  <c r="IU12" i="7"/>
  <c r="KY13" i="7" s="1"/>
  <c r="IW12" i="7"/>
  <c r="IQ12" i="7"/>
  <c r="II12" i="7"/>
  <c r="MD29" i="7"/>
  <c r="MN29" i="7"/>
  <c r="MO29" i="7" s="1"/>
  <c r="MP29" i="7" s="1"/>
  <c r="MF29" i="7"/>
  <c r="MG29" i="7" s="1"/>
  <c r="MG11" i="7"/>
  <c r="MN11" i="7"/>
  <c r="MO11" i="7" s="1"/>
  <c r="MP11" i="7" s="1"/>
  <c r="O11" i="7"/>
  <c r="R11" i="7" s="1"/>
  <c r="P11" i="7"/>
  <c r="Q11" i="7"/>
  <c r="IK11" i="7"/>
  <c r="IQ11" i="7"/>
  <c r="IU11" i="7"/>
  <c r="II11" i="7"/>
  <c r="IS11" i="7"/>
  <c r="IW11" i="7"/>
  <c r="HZ11" i="7"/>
  <c r="LJ11" i="7" s="1"/>
  <c r="JU11" i="7"/>
  <c r="HZ10" i="7"/>
  <c r="LJ10" i="7" s="1"/>
  <c r="JU10" i="7"/>
  <c r="II10" i="7"/>
  <c r="IK10" i="7"/>
  <c r="IQ10" i="7"/>
  <c r="IS10" i="7"/>
  <c r="IU10" i="7"/>
  <c r="IW10" i="7"/>
  <c r="HZ9" i="7"/>
  <c r="LJ9" i="7" s="1"/>
  <c r="JU9" i="7"/>
  <c r="II9" i="7"/>
  <c r="IK9" i="7"/>
  <c r="KO10" i="7" s="1"/>
  <c r="IQ9" i="7"/>
  <c r="KU10" i="7" s="1"/>
  <c r="IS9" i="7"/>
  <c r="KW10" i="7" s="1"/>
  <c r="IU9" i="7"/>
  <c r="KY10" i="7" s="1"/>
  <c r="IW9" i="7"/>
  <c r="LA10" i="7" s="1"/>
  <c r="MD9" i="7"/>
  <c r="MN9" i="7"/>
  <c r="MO9" i="7" s="1"/>
  <c r="MP9" i="7" s="1"/>
  <c r="II8" i="7"/>
  <c r="IK8" i="7"/>
  <c r="KO9" i="7" s="1"/>
  <c r="IQ8" i="7"/>
  <c r="KU9" i="7" s="1"/>
  <c r="IS8" i="7"/>
  <c r="KW9" i="7" s="1"/>
  <c r="IU8" i="7"/>
  <c r="KY9" i="7" s="1"/>
  <c r="IW8" i="7"/>
  <c r="LA9" i="7" s="1"/>
  <c r="HZ8" i="7"/>
  <c r="LJ8" i="7" s="1"/>
  <c r="JU8" i="7"/>
  <c r="MD8" i="7"/>
  <c r="MF8" i="7"/>
  <c r="MN8" i="7"/>
  <c r="MO8" i="7" s="1"/>
  <c r="MP8" i="7" s="1"/>
  <c r="LW8" i="7"/>
  <c r="JJ7" i="7"/>
  <c r="KJ8" i="7" s="1"/>
  <c r="JG26" i="7"/>
  <c r="HZ7" i="7"/>
  <c r="LJ7" i="7" s="1"/>
  <c r="JU7" i="7"/>
  <c r="II7" i="7"/>
  <c r="IK7" i="7"/>
  <c r="KO8" i="7" s="1"/>
  <c r="IQ7" i="7"/>
  <c r="KU8" i="7" s="1"/>
  <c r="IS7" i="7"/>
  <c r="KW8" i="7" s="1"/>
  <c r="IU7" i="7"/>
  <c r="KY8" i="7" s="1"/>
  <c r="IW7" i="7"/>
  <c r="LA8" i="7" s="1"/>
  <c r="I9" i="7"/>
  <c r="J9" i="7"/>
  <c r="H12" i="7"/>
  <c r="G9" i="7"/>
  <c r="CF9" i="7"/>
  <c r="CI9" i="7" s="1"/>
  <c r="CJ9" i="7" s="1"/>
  <c r="F12" i="7"/>
  <c r="I21" i="7"/>
  <c r="J21" i="7"/>
  <c r="CF19" i="7"/>
  <c r="CI19" i="7" s="1"/>
  <c r="CJ19" i="7" s="1"/>
  <c r="G21" i="7"/>
  <c r="CG19" i="7" s="1"/>
  <c r="CH19" i="7" s="1"/>
  <c r="MD7" i="7"/>
  <c r="MN7" i="7"/>
  <c r="MO7" i="7" s="1"/>
  <c r="MP7" i="7" s="1"/>
  <c r="LO26" i="7"/>
  <c r="LI28" i="7"/>
  <c r="II6" i="7"/>
  <c r="IK6" i="7"/>
  <c r="IQ6" i="7"/>
  <c r="IS6" i="7"/>
  <c r="IU6" i="7"/>
  <c r="IW6" i="7"/>
  <c r="HZ6" i="7"/>
  <c r="LJ6" i="7" s="1"/>
  <c r="JU6" i="7"/>
  <c r="HR26" i="7"/>
  <c r="K16" i="7"/>
  <c r="IM27" i="7"/>
  <c r="AJ15" i="7" s="1"/>
  <c r="AJ17" i="7" s="1"/>
  <c r="KP28" i="7"/>
  <c r="KW4" i="7"/>
  <c r="KY4" i="7"/>
  <c r="IP4" i="7"/>
  <c r="IR4" i="7" s="1"/>
  <c r="IT4" i="7"/>
  <c r="EZ3" i="7"/>
  <c r="FQ3" i="7"/>
  <c r="GE3" i="7" s="1"/>
  <c r="GR3" i="7" s="1"/>
  <c r="EV3" i="7"/>
  <c r="FM3" i="7"/>
  <c r="GA3" i="7" s="1"/>
  <c r="GN3" i="7" s="1"/>
  <c r="DY16" i="8"/>
  <c r="CM16" i="8"/>
  <c r="P28" i="8"/>
  <c r="R8" i="7"/>
  <c r="FF6" i="7"/>
  <c r="DY11" i="8"/>
  <c r="DY28" i="8" s="1"/>
  <c r="GM23" i="8"/>
  <c r="GM27" i="8"/>
  <c r="GM24" i="8"/>
  <c r="FE8" i="7"/>
  <c r="FD8" i="7"/>
  <c r="FF8" i="7" s="1"/>
  <c r="FD7" i="7"/>
  <c r="FF7" i="7" s="1"/>
  <c r="FE7" i="7"/>
  <c r="DY14" i="8"/>
  <c r="CM14" i="8"/>
  <c r="DL14" i="8"/>
  <c r="DM14" i="8" s="1"/>
  <c r="DY13" i="8"/>
  <c r="DL13" i="8"/>
  <c r="DM13" i="8" s="1"/>
  <c r="CM13" i="8"/>
  <c r="CM11" i="8"/>
  <c r="DL11" i="8"/>
  <c r="DM11" i="8" s="1"/>
  <c r="DY10" i="8"/>
  <c r="DL10" i="8"/>
  <c r="DM10" i="8" s="1"/>
  <c r="CM10" i="8"/>
  <c r="DY9" i="8"/>
  <c r="DL9" i="8"/>
  <c r="DM9" i="8" s="1"/>
  <c r="CM9" i="8"/>
  <c r="DY8" i="8"/>
  <c r="CM8" i="8"/>
  <c r="DL8" i="8"/>
  <c r="DM8" i="8" s="1"/>
  <c r="DY7" i="8"/>
  <c r="CM7" i="8"/>
  <c r="DL7" i="8"/>
  <c r="DM7" i="8" s="1"/>
  <c r="DY6" i="8"/>
  <c r="CM6" i="8"/>
  <c r="CM28" i="8" s="1"/>
  <c r="DL6" i="8"/>
  <c r="DY27" i="8"/>
  <c r="CM27" i="8"/>
  <c r="DL27" i="8"/>
  <c r="DM27" i="8" s="1"/>
  <c r="DY23" i="8"/>
  <c r="DL23" i="8"/>
  <c r="DM23" i="8" s="1"/>
  <c r="CM23" i="8"/>
  <c r="DY21" i="8"/>
  <c r="CM21" i="8"/>
  <c r="DL21" i="8"/>
  <c r="DM21" i="8" s="1"/>
  <c r="DL20" i="8"/>
  <c r="DM20" i="8" s="1"/>
  <c r="CM20" i="8"/>
  <c r="DY20" i="8"/>
  <c r="DY19" i="8"/>
  <c r="CM19" i="8"/>
  <c r="DL19" i="8"/>
  <c r="DM19" i="8" s="1"/>
  <c r="DY15" i="8"/>
  <c r="DL15" i="8"/>
  <c r="DM15" i="8" s="1"/>
  <c r="CM15" i="8"/>
  <c r="DY26" i="8"/>
  <c r="DL26" i="8"/>
  <c r="DM26" i="8" s="1"/>
  <c r="CM26" i="8"/>
  <c r="DY25" i="8"/>
  <c r="DL25" i="8"/>
  <c r="DM25" i="8" s="1"/>
  <c r="CM25" i="8"/>
  <c r="DY24" i="8"/>
  <c r="DL24" i="8"/>
  <c r="DM24" i="8" s="1"/>
  <c r="CM24" i="8"/>
  <c r="DY22" i="8"/>
  <c r="CM22" i="8"/>
  <c r="DL22" i="8"/>
  <c r="DM22" i="8" s="1"/>
  <c r="DY18" i="8"/>
  <c r="DL18" i="8"/>
  <c r="DM18" i="8" s="1"/>
  <c r="CM18" i="8"/>
  <c r="DY17" i="8"/>
  <c r="CM17" i="8"/>
  <c r="DL17" i="8"/>
  <c r="DM17" i="8" s="1"/>
  <c r="GM27" i="6"/>
  <c r="GM24" i="6"/>
  <c r="GM23" i="6"/>
  <c r="GM8" i="6"/>
  <c r="DY4" i="6"/>
  <c r="IS13" i="6"/>
  <c r="DY23" i="6"/>
  <c r="DL23" i="6"/>
  <c r="DM23" i="6" s="1"/>
  <c r="CM23" i="6"/>
  <c r="DL6" i="6"/>
  <c r="DM6" i="6" s="1"/>
  <c r="CM6" i="6"/>
  <c r="DL5" i="6"/>
  <c r="DM5" i="6" s="1"/>
  <c r="CM5" i="6"/>
  <c r="P28" i="6"/>
  <c r="DL4" i="6"/>
  <c r="CM4" i="6"/>
  <c r="IS20" i="6"/>
  <c r="IS10" i="6"/>
  <c r="IS27" i="6"/>
  <c r="IV27" i="6" s="1"/>
  <c r="HA27" i="6"/>
  <c r="IS17" i="6"/>
  <c r="IV17" i="6" s="1"/>
  <c r="GZ28" i="6"/>
  <c r="IS7" i="6"/>
  <c r="DY5" i="6"/>
  <c r="IS18" i="6"/>
  <c r="IS24" i="6"/>
  <c r="IV24" i="6" s="1"/>
  <c r="HA24" i="6"/>
  <c r="IS9" i="6"/>
  <c r="IS11" i="6"/>
  <c r="IS14" i="6"/>
  <c r="IS12" i="6"/>
  <c r="IS16" i="6"/>
  <c r="IS15" i="6"/>
  <c r="IV15" i="6" s="1"/>
  <c r="IS23" i="6"/>
  <c r="IV23" i="6" s="1"/>
  <c r="HA23" i="6"/>
  <c r="JV28" i="6"/>
  <c r="IS19" i="6"/>
  <c r="IS22" i="6"/>
  <c r="DY6" i="6"/>
  <c r="IS21" i="6"/>
  <c r="DY12" i="6"/>
  <c r="M28" i="6"/>
  <c r="ET4" i="6"/>
  <c r="DN4" i="6"/>
  <c r="CK4" i="6"/>
  <c r="BP4" i="6"/>
  <c r="IY8" i="6"/>
  <c r="JB8" i="6" s="1"/>
  <c r="HW8" i="6"/>
  <c r="HV8" i="6"/>
  <c r="F12" i="5"/>
  <c r="CF9" i="5"/>
  <c r="CI9" i="5" s="1"/>
  <c r="CJ9" i="5" s="1"/>
  <c r="G9" i="5"/>
  <c r="H12" i="5"/>
  <c r="J9" i="5"/>
  <c r="I9" i="5"/>
  <c r="K10" i="5"/>
  <c r="HR27" i="5"/>
  <c r="HZ26" i="5"/>
  <c r="HZ27" i="5" s="1"/>
  <c r="LJ26" i="5"/>
  <c r="JU26" i="5"/>
  <c r="KC26" i="5" s="1"/>
  <c r="KC9" i="5"/>
  <c r="LM9" i="5"/>
  <c r="LP9" i="5" s="1"/>
  <c r="LB10" i="5"/>
  <c r="IZ9" i="5"/>
  <c r="KC10" i="5"/>
  <c r="LI28" i="5"/>
  <c r="LO26" i="5"/>
  <c r="LB11" i="5"/>
  <c r="LM10" i="5"/>
  <c r="LP10" i="5" s="1"/>
  <c r="IZ10" i="5"/>
  <c r="K14" i="5"/>
  <c r="KL28" i="5"/>
  <c r="II27" i="5"/>
  <c r="AH15" i="5" s="1"/>
  <c r="AH17" i="5" s="1"/>
  <c r="IY26" i="5"/>
  <c r="N25" i="5"/>
  <c r="MC35" i="5"/>
  <c r="JJ26" i="5"/>
  <c r="KJ27" i="5" s="1"/>
  <c r="KQ11" i="5"/>
  <c r="KQ27" i="5" s="1"/>
  <c r="KS11" i="5"/>
  <c r="KS27" i="5" s="1"/>
  <c r="KC13" i="5"/>
  <c r="CF19" i="5"/>
  <c r="CI19" i="5" s="1"/>
  <c r="CJ19" i="5" s="1"/>
  <c r="G21" i="5"/>
  <c r="CG19" i="5" s="1"/>
  <c r="CH19" i="5" s="1"/>
  <c r="K15" i="5"/>
  <c r="KN28" i="5"/>
  <c r="IK27" i="5"/>
  <c r="AI15" i="5" s="1"/>
  <c r="AI17" i="5" s="1"/>
  <c r="K16" i="5"/>
  <c r="KP28" i="5"/>
  <c r="IM27" i="5"/>
  <c r="AJ15" i="5" s="1"/>
  <c r="AJ17" i="5" s="1"/>
  <c r="K19" i="5"/>
  <c r="KT28" i="5"/>
  <c r="IQ27" i="5"/>
  <c r="KV28" i="5"/>
  <c r="IS27" i="5"/>
  <c r="K18" i="5"/>
  <c r="KX28" i="5"/>
  <c r="IU27" i="5"/>
  <c r="K20" i="5"/>
  <c r="KZ28" i="5"/>
  <c r="IW27" i="5"/>
  <c r="KM26" i="5"/>
  <c r="KK26" i="5"/>
  <c r="KM25" i="5"/>
  <c r="KK25" i="5"/>
  <c r="KM24" i="5"/>
  <c r="KK24" i="5"/>
  <c r="KM23" i="5"/>
  <c r="KK23" i="5"/>
  <c r="KM22" i="5"/>
  <c r="KK22" i="5"/>
  <c r="KM21" i="5"/>
  <c r="KK21" i="5"/>
  <c r="KM20" i="5"/>
  <c r="KK20" i="5"/>
  <c r="KM18" i="5"/>
  <c r="KK18" i="5"/>
  <c r="KM17" i="5"/>
  <c r="KK17" i="5"/>
  <c r="KM16" i="5"/>
  <c r="KK16" i="5"/>
  <c r="KM19" i="5"/>
  <c r="KK19" i="5"/>
  <c r="KK13" i="5"/>
  <c r="KM13" i="5"/>
  <c r="KM12" i="5"/>
  <c r="KK12" i="5"/>
  <c r="KK9" i="5"/>
  <c r="KM9" i="5"/>
  <c r="KM8" i="5"/>
  <c r="KK8" i="5"/>
  <c r="LA7" i="5"/>
  <c r="KY7" i="5"/>
  <c r="KW7" i="5"/>
  <c r="KU7" i="5"/>
  <c r="KO7" i="5"/>
  <c r="KM7" i="5"/>
  <c r="KM15" i="5"/>
  <c r="KK15" i="5"/>
  <c r="KK10" i="5"/>
  <c r="KM10" i="5"/>
  <c r="M7" i="5"/>
  <c r="L7" i="5"/>
  <c r="R24" i="5"/>
  <c r="Q24" i="5"/>
  <c r="IJ4" i="6"/>
  <c r="ID4" i="6"/>
  <c r="MG29" i="5"/>
  <c r="MD29" i="5"/>
  <c r="MG27" i="5"/>
  <c r="MD27" i="5"/>
  <c r="MG26" i="5"/>
  <c r="MD26" i="5"/>
  <c r="MD11" i="5"/>
  <c r="MN34" i="5"/>
  <c r="MO34" i="5" s="1"/>
  <c r="MP34" i="5" s="1"/>
  <c r="MG34" i="5"/>
  <c r="MG11" i="5" s="1"/>
  <c r="MC7" i="5"/>
  <c r="Q7" i="5"/>
  <c r="P7" i="5"/>
  <c r="O7" i="5"/>
  <c r="R7" i="5" s="1"/>
  <c r="LW8" i="5"/>
  <c r="MN8" i="5"/>
  <c r="MO8" i="5" s="1"/>
  <c r="MP8" i="5" s="1"/>
  <c r="MF8" i="5"/>
  <c r="MD8" i="5"/>
  <c r="MD9" i="5"/>
  <c r="MN9" i="5"/>
  <c r="MO9" i="5" s="1"/>
  <c r="MP9" i="5" s="1"/>
  <c r="KM14" i="5"/>
  <c r="KK14" i="5"/>
  <c r="CG17" i="5"/>
  <c r="CH17" i="5" s="1"/>
  <c r="FF6" i="5"/>
  <c r="FF7" i="5"/>
  <c r="LP13" i="5"/>
  <c r="R8" i="5"/>
  <c r="DY24" i="6"/>
  <c r="DL24" i="6"/>
  <c r="DM24" i="6" s="1"/>
  <c r="CM24" i="6"/>
  <c r="DL18" i="6"/>
  <c r="DM18" i="6" s="1"/>
  <c r="CM18" i="6"/>
  <c r="DL17" i="6"/>
  <c r="DM17" i="6" s="1"/>
  <c r="CM17" i="6"/>
  <c r="CM15" i="6"/>
  <c r="DL15" i="6"/>
  <c r="DM15" i="6" s="1"/>
  <c r="CM14" i="6"/>
  <c r="DL14" i="6"/>
  <c r="DM14" i="6" s="1"/>
  <c r="DL11" i="6"/>
  <c r="DM11" i="6" s="1"/>
  <c r="CM11" i="6"/>
  <c r="CM10" i="6"/>
  <c r="DL10" i="6"/>
  <c r="DM10" i="6" s="1"/>
  <c r="CM9" i="6"/>
  <c r="DL9" i="6"/>
  <c r="DM9" i="6" s="1"/>
  <c r="DY8" i="6"/>
  <c r="DL8" i="6"/>
  <c r="DM8" i="6" s="1"/>
  <c r="CM8" i="6"/>
  <c r="CM7" i="6"/>
  <c r="DL7" i="6"/>
  <c r="DM7" i="6" s="1"/>
  <c r="IS8" i="6"/>
  <c r="IV8" i="6" s="1"/>
  <c r="HB8" i="6"/>
  <c r="DN15" i="6"/>
  <c r="DO15" i="6" s="1"/>
  <c r="ET15" i="6"/>
  <c r="DN24" i="6"/>
  <c r="DO24" i="6" s="1"/>
  <c r="CK24" i="6"/>
  <c r="BP24" i="6"/>
  <c r="ET24" i="6"/>
  <c r="BP8" i="6"/>
  <c r="CK8" i="6"/>
  <c r="ET8" i="6"/>
  <c r="DN8" i="6"/>
  <c r="DO8" i="6" s="1"/>
  <c r="KK11" i="5"/>
  <c r="KM11" i="5"/>
  <c r="L11" i="5"/>
  <c r="L17" i="5"/>
  <c r="HB27" i="4"/>
  <c r="HT27" i="4"/>
  <c r="IT27" i="4"/>
  <c r="IU26" i="4"/>
  <c r="IW26" i="4" s="1"/>
  <c r="IV26" i="4"/>
  <c r="IU25" i="4"/>
  <c r="IW25" i="4" s="1"/>
  <c r="IV25" i="4"/>
  <c r="HB24" i="4"/>
  <c r="HT24" i="4"/>
  <c r="IT24" i="4"/>
  <c r="HB23" i="4"/>
  <c r="HT23" i="4"/>
  <c r="IT23" i="4"/>
  <c r="IU22" i="4"/>
  <c r="IW22" i="4" s="1"/>
  <c r="IV22" i="4"/>
  <c r="IU21" i="4"/>
  <c r="IW21" i="4" s="1"/>
  <c r="IV21" i="4"/>
  <c r="IU20" i="4"/>
  <c r="IW20" i="4" s="1"/>
  <c r="IV20" i="4"/>
  <c r="IU19" i="4"/>
  <c r="IW19" i="4" s="1"/>
  <c r="IV19" i="4"/>
  <c r="IU18" i="4"/>
  <c r="IW18" i="4" s="1"/>
  <c r="IV18" i="4"/>
  <c r="IU16" i="4"/>
  <c r="IW16" i="4" s="1"/>
  <c r="IV16" i="4"/>
  <c r="IU14" i="4"/>
  <c r="IW14" i="4" s="1"/>
  <c r="IV14" i="4"/>
  <c r="IU13" i="4"/>
  <c r="IW13" i="4" s="1"/>
  <c r="IV13" i="4"/>
  <c r="IU12" i="4"/>
  <c r="IU11" i="4"/>
  <c r="IU10" i="4"/>
  <c r="IW10" i="4" s="1"/>
  <c r="IV10" i="4"/>
  <c r="IU9" i="4"/>
  <c r="HV8" i="4"/>
  <c r="HW8" i="4"/>
  <c r="IY8" i="4"/>
  <c r="JB8" i="4"/>
  <c r="IU7" i="4"/>
  <c r="IU6" i="4"/>
  <c r="JZ27" i="3"/>
  <c r="N9" i="3"/>
  <c r="JZ9" i="3"/>
  <c r="JZ13" i="3"/>
  <c r="JZ14" i="3"/>
  <c r="JZ15" i="3"/>
  <c r="JZ16" i="3"/>
  <c r="JZ17" i="3"/>
  <c r="JZ18" i="3"/>
  <c r="JZ20" i="3"/>
  <c r="JZ10" i="3"/>
  <c r="JZ12" i="3"/>
  <c r="JZ8" i="3"/>
  <c r="JZ11" i="3"/>
  <c r="JZ6" i="3"/>
  <c r="JZ7" i="3"/>
  <c r="JZ19" i="3"/>
  <c r="JZ21" i="3"/>
  <c r="JZ22" i="3"/>
  <c r="JZ23" i="3"/>
  <c r="JZ24" i="3"/>
  <c r="JZ25" i="3"/>
  <c r="O8" i="3"/>
  <c r="R8" i="3" s="1"/>
  <c r="P8" i="3"/>
  <c r="Q8" i="3"/>
  <c r="MC8" i="3"/>
  <c r="N7" i="3"/>
  <c r="IU5" i="4"/>
  <c r="IW5" i="4" s="1"/>
  <c r="IV5" i="4"/>
  <c r="JV28" i="4"/>
  <c r="IU4" i="4"/>
  <c r="IV4" i="4"/>
  <c r="IS28" i="4"/>
  <c r="ET28" i="4"/>
  <c r="DO4" i="4"/>
  <c r="DN28" i="4"/>
  <c r="CK28" i="4"/>
  <c r="BP28" i="4"/>
  <c r="AU28" i="4"/>
  <c r="AL7" i="4" s="1"/>
  <c r="AS28" i="4" s="1"/>
  <c r="P7" i="4"/>
  <c r="P12" i="4"/>
  <c r="P13" i="4"/>
  <c r="P14" i="4"/>
  <c r="P16" i="4"/>
  <c r="P18" i="4"/>
  <c r="P19" i="4"/>
  <c r="P20" i="4"/>
  <c r="P22" i="4"/>
  <c r="P23" i="4"/>
  <c r="P24" i="4"/>
  <c r="P25" i="4"/>
  <c r="P26" i="4"/>
  <c r="P27" i="4"/>
  <c r="P8" i="4"/>
  <c r="P9" i="4"/>
  <c r="P10" i="4"/>
  <c r="P15" i="4"/>
  <c r="P17" i="4"/>
  <c r="P11" i="4"/>
  <c r="P6" i="4"/>
  <c r="P5" i="4"/>
  <c r="P21" i="4"/>
  <c r="ID4" i="4"/>
  <c r="IJ4" i="4"/>
  <c r="JI8" i="3"/>
  <c r="JK8" i="3" s="1"/>
  <c r="KK9" i="3" s="1"/>
  <c r="JI9" i="3"/>
  <c r="JK9" i="3" s="1"/>
  <c r="KK10" i="3" s="1"/>
  <c r="JI11" i="3"/>
  <c r="JK11" i="3" s="1"/>
  <c r="KK12" i="3" s="1"/>
  <c r="JI20" i="3"/>
  <c r="JK20" i="3" s="1"/>
  <c r="KK21" i="3" s="1"/>
  <c r="JI7" i="3"/>
  <c r="JK7" i="3" s="1"/>
  <c r="KK8" i="3" s="1"/>
  <c r="JI13" i="3"/>
  <c r="JK13" i="3" s="1"/>
  <c r="KK14" i="3" s="1"/>
  <c r="JI14" i="3"/>
  <c r="JK14" i="3" s="1"/>
  <c r="KK15" i="3" s="1"/>
  <c r="JI15" i="3"/>
  <c r="JK15" i="3" s="1"/>
  <c r="KK16" i="3" s="1"/>
  <c r="JI16" i="3"/>
  <c r="JK16" i="3" s="1"/>
  <c r="KK17" i="3" s="1"/>
  <c r="JI17" i="3"/>
  <c r="JK17" i="3" s="1"/>
  <c r="KK18" i="3" s="1"/>
  <c r="JI18" i="3"/>
  <c r="JK18" i="3" s="1"/>
  <c r="KK19" i="3" s="1"/>
  <c r="JI19" i="3"/>
  <c r="JK19" i="3" s="1"/>
  <c r="KK20" i="3" s="1"/>
  <c r="JI21" i="3"/>
  <c r="JK21" i="3" s="1"/>
  <c r="KK22" i="3" s="1"/>
  <c r="JI22" i="3"/>
  <c r="JK22" i="3" s="1"/>
  <c r="KK23" i="3" s="1"/>
  <c r="JI23" i="3"/>
  <c r="JK23" i="3" s="1"/>
  <c r="KK24" i="3" s="1"/>
  <c r="JI24" i="3"/>
  <c r="JK24" i="3" s="1"/>
  <c r="KK25" i="3" s="1"/>
  <c r="JI25" i="3"/>
  <c r="JK25" i="3" s="1"/>
  <c r="KK26" i="3" s="1"/>
  <c r="KU26" i="3" s="1"/>
  <c r="KK27" i="3"/>
  <c r="JI10" i="3"/>
  <c r="JK10" i="3" s="1"/>
  <c r="KK11" i="3" s="1"/>
  <c r="JI12" i="3"/>
  <c r="JK12" i="3" s="1"/>
  <c r="KK13" i="3" s="1"/>
  <c r="HP26" i="3"/>
  <c r="IG26" i="3"/>
  <c r="HZ25" i="3"/>
  <c r="LJ25" i="3" s="1"/>
  <c r="JU25" i="3"/>
  <c r="II25" i="3"/>
  <c r="IK25" i="3"/>
  <c r="KO26" i="3" s="1"/>
  <c r="IS25" i="3"/>
  <c r="KW26" i="3" s="1"/>
  <c r="IU25" i="3"/>
  <c r="KY26" i="3" s="1"/>
  <c r="IW25" i="3"/>
  <c r="LA26" i="3" s="1"/>
  <c r="IK24" i="3"/>
  <c r="KO25" i="3" s="1"/>
  <c r="IQ24" i="3"/>
  <c r="KU25" i="3" s="1"/>
  <c r="IU24" i="3"/>
  <c r="KY25" i="3" s="1"/>
  <c r="IW24" i="3"/>
  <c r="LA25" i="3" s="1"/>
  <c r="II24" i="3"/>
  <c r="IS24" i="3"/>
  <c r="KW25" i="3" s="1"/>
  <c r="HZ24" i="3"/>
  <c r="LJ24" i="3" s="1"/>
  <c r="JU24" i="3"/>
  <c r="IK23" i="3"/>
  <c r="KO24" i="3" s="1"/>
  <c r="IS23" i="3"/>
  <c r="KW24" i="3" s="1"/>
  <c r="II23" i="3"/>
  <c r="IQ23" i="3"/>
  <c r="KU24" i="3" s="1"/>
  <c r="IU23" i="3"/>
  <c r="KY24" i="3" s="1"/>
  <c r="IW23" i="3"/>
  <c r="LA24" i="3" s="1"/>
  <c r="HZ23" i="3"/>
  <c r="LJ23" i="3" s="1"/>
  <c r="JU23" i="3"/>
  <c r="HZ22" i="3"/>
  <c r="LJ22" i="3" s="1"/>
  <c r="JU22" i="3"/>
  <c r="II22" i="3"/>
  <c r="IK22" i="3"/>
  <c r="KO23" i="3" s="1"/>
  <c r="IQ22" i="3"/>
  <c r="KU23" i="3" s="1"/>
  <c r="IS22" i="3"/>
  <c r="KW23" i="3" s="1"/>
  <c r="IU22" i="3"/>
  <c r="KY23" i="3" s="1"/>
  <c r="IW22" i="3"/>
  <c r="LA23" i="3" s="1"/>
  <c r="IK21" i="3"/>
  <c r="KO22" i="3" s="1"/>
  <c r="IQ21" i="3"/>
  <c r="KU22" i="3" s="1"/>
  <c r="IU21" i="3"/>
  <c r="KY22" i="3" s="1"/>
  <c r="IW21" i="3"/>
  <c r="LA22" i="3" s="1"/>
  <c r="II21" i="3"/>
  <c r="IS21" i="3"/>
  <c r="KW22" i="3" s="1"/>
  <c r="HZ21" i="3"/>
  <c r="LJ21" i="3" s="1"/>
  <c r="JU21" i="3"/>
  <c r="HZ20" i="3"/>
  <c r="LJ20" i="3" s="1"/>
  <c r="JU20" i="3"/>
  <c r="IK20" i="3"/>
  <c r="IQ20" i="3"/>
  <c r="IU20" i="3"/>
  <c r="II20" i="3"/>
  <c r="IS20" i="3"/>
  <c r="IW20" i="3"/>
  <c r="G20" i="3"/>
  <c r="CG18" i="3" s="1"/>
  <c r="CH18" i="3" s="1"/>
  <c r="CF18" i="3"/>
  <c r="CI18" i="3" s="1"/>
  <c r="CJ18" i="3" s="1"/>
  <c r="II19" i="3"/>
  <c r="IS19" i="3"/>
  <c r="KW20" i="3" s="1"/>
  <c r="IU19" i="3"/>
  <c r="KY20" i="3" s="1"/>
  <c r="IW19" i="3"/>
  <c r="LA20" i="3" s="1"/>
  <c r="IK19" i="3"/>
  <c r="KO20" i="3" s="1"/>
  <c r="IQ19" i="3"/>
  <c r="KU20" i="3" s="1"/>
  <c r="HZ19" i="3"/>
  <c r="LJ19" i="3" s="1"/>
  <c r="JU19" i="3"/>
  <c r="IK18" i="3"/>
  <c r="KO19" i="3" s="1"/>
  <c r="IS18" i="3"/>
  <c r="KW19" i="3" s="1"/>
  <c r="IU18" i="3"/>
  <c r="KY19" i="3" s="1"/>
  <c r="IW18" i="3"/>
  <c r="LA19" i="3" s="1"/>
  <c r="II18" i="3"/>
  <c r="IQ18" i="3"/>
  <c r="KU19" i="3" s="1"/>
  <c r="HZ18" i="3"/>
  <c r="LJ18" i="3" s="1"/>
  <c r="JU18" i="3"/>
  <c r="IK17" i="3"/>
  <c r="IQ17" i="3"/>
  <c r="IU17" i="3"/>
  <c r="II17" i="3"/>
  <c r="IS17" i="3"/>
  <c r="IW17" i="3"/>
  <c r="HZ17" i="3"/>
  <c r="LJ17" i="3" s="1"/>
  <c r="JU17" i="3"/>
  <c r="IK16" i="3"/>
  <c r="IS16" i="3"/>
  <c r="II16" i="3"/>
  <c r="IQ16" i="3"/>
  <c r="IU16" i="3"/>
  <c r="IW16" i="3"/>
  <c r="HZ16" i="3"/>
  <c r="LJ16" i="3" s="1"/>
  <c r="JU16" i="3"/>
  <c r="JU15" i="3"/>
  <c r="HZ15" i="3"/>
  <c r="LJ15" i="3" s="1"/>
  <c r="IK15" i="3"/>
  <c r="IQ15" i="3"/>
  <c r="IU15" i="3"/>
  <c r="IW15" i="3"/>
  <c r="II15" i="3"/>
  <c r="IS15" i="3"/>
  <c r="II14" i="3"/>
  <c r="IK14" i="3"/>
  <c r="IU14" i="3"/>
  <c r="IQ14" i="3"/>
  <c r="IS14" i="3"/>
  <c r="IW14" i="3"/>
  <c r="HZ14" i="3"/>
  <c r="LJ14" i="3" s="1"/>
  <c r="JU14" i="3"/>
  <c r="HZ13" i="3"/>
  <c r="LJ13" i="3" s="1"/>
  <c r="JU13" i="3"/>
  <c r="IQ13" i="3"/>
  <c r="II13" i="3"/>
  <c r="IK13" i="3"/>
  <c r="IW13" i="3"/>
  <c r="IS13" i="3"/>
  <c r="IU13" i="3"/>
  <c r="KM13" i="3"/>
  <c r="IY12" i="3"/>
  <c r="KC12" i="3"/>
  <c r="MF29" i="3"/>
  <c r="MG29" i="3" s="1"/>
  <c r="MN11" i="3"/>
  <c r="MO11" i="3" s="1"/>
  <c r="MP11" i="3" s="1"/>
  <c r="MG11" i="3"/>
  <c r="MD29" i="3"/>
  <c r="MN29" i="3"/>
  <c r="MO29" i="3" s="1"/>
  <c r="MP29" i="3" s="1"/>
  <c r="JU11" i="3"/>
  <c r="HZ11" i="3"/>
  <c r="LJ11" i="3" s="1"/>
  <c r="IW11" i="3"/>
  <c r="IS11" i="3"/>
  <c r="IU11" i="3"/>
  <c r="IK11" i="3"/>
  <c r="II11" i="3"/>
  <c r="IQ11" i="3"/>
  <c r="KC10" i="3"/>
  <c r="IY10" i="3"/>
  <c r="KM11" i="3"/>
  <c r="II9" i="3"/>
  <c r="IW9" i="3"/>
  <c r="IQ9" i="3"/>
  <c r="IS9" i="3"/>
  <c r="IK9" i="3"/>
  <c r="IU9" i="3"/>
  <c r="HZ9" i="3"/>
  <c r="LJ9" i="3" s="1"/>
  <c r="JU9" i="3"/>
  <c r="L7" i="3"/>
  <c r="M7" i="3"/>
  <c r="HZ8" i="3"/>
  <c r="LJ8" i="3" s="1"/>
  <c r="JU8" i="3"/>
  <c r="IS8" i="3"/>
  <c r="IU8" i="3"/>
  <c r="IW8" i="3"/>
  <c r="II8" i="3"/>
  <c r="IK8" i="3"/>
  <c r="IQ8" i="3"/>
  <c r="J21" i="3"/>
  <c r="I21" i="3"/>
  <c r="G21" i="3"/>
  <c r="CG19" i="3" s="1"/>
  <c r="CH19" i="3" s="1"/>
  <c r="CF19" i="3"/>
  <c r="CI19" i="3" s="1"/>
  <c r="CJ19" i="3" s="1"/>
  <c r="KQ8" i="3"/>
  <c r="KQ27" i="3" s="1"/>
  <c r="KS8" i="3"/>
  <c r="KS27" i="3" s="1"/>
  <c r="JJ26" i="3"/>
  <c r="KJ27" i="3" s="1"/>
  <c r="N25" i="3"/>
  <c r="MC35" i="3"/>
  <c r="II7" i="3"/>
  <c r="IK7" i="3"/>
  <c r="IQ7" i="3"/>
  <c r="IS7" i="3"/>
  <c r="IU7" i="3"/>
  <c r="IW7" i="3"/>
  <c r="HZ7" i="3"/>
  <c r="LJ7" i="3" s="1"/>
  <c r="JU7" i="3"/>
  <c r="N17" i="3"/>
  <c r="KS28" i="3"/>
  <c r="LO26" i="3"/>
  <c r="LI28" i="3"/>
  <c r="II6" i="3"/>
  <c r="IK6" i="3"/>
  <c r="IQ6" i="3"/>
  <c r="IS6" i="3"/>
  <c r="IU6" i="3"/>
  <c r="IW6" i="3"/>
  <c r="HZ6" i="3"/>
  <c r="LJ6" i="3" s="1"/>
  <c r="JU6" i="3"/>
  <c r="HR26" i="3"/>
  <c r="N16" i="3"/>
  <c r="IM27" i="3"/>
  <c r="AJ15" i="3" s="1"/>
  <c r="AJ17" i="3"/>
  <c r="KP28" i="3"/>
  <c r="KQ28" i="3" s="1"/>
  <c r="K16" i="3"/>
  <c r="I7" i="3"/>
  <c r="J7" i="3"/>
  <c r="H9" i="3"/>
  <c r="G7" i="3"/>
  <c r="CG7" i="3" s="1"/>
  <c r="CH7" i="3" s="1"/>
  <c r="CF7" i="3"/>
  <c r="CI7" i="3" s="1"/>
  <c r="CJ7" i="3" s="1"/>
  <c r="F9" i="3"/>
  <c r="KW4" i="3"/>
  <c r="KY4" i="3"/>
  <c r="IP4" i="3"/>
  <c r="IR4" i="3" s="1"/>
  <c r="IT4" i="3"/>
  <c r="EZ3" i="3"/>
  <c r="FQ3" i="3"/>
  <c r="GE3" i="3" s="1"/>
  <c r="GR3" i="3" s="1"/>
  <c r="EV3" i="3"/>
  <c r="FM3" i="3"/>
  <c r="GA3" i="3" s="1"/>
  <c r="GN3" i="3" s="1"/>
  <c r="KB4" i="4"/>
  <c r="R11" i="3"/>
  <c r="CG17" i="3"/>
  <c r="CH17" i="3" s="1"/>
  <c r="M28" i="4"/>
  <c r="GM27" i="4"/>
  <c r="GM24" i="4"/>
  <c r="GM23" i="4"/>
  <c r="CM4" i="4"/>
  <c r="DY4" i="4"/>
  <c r="DL4" i="4"/>
  <c r="CJ8" i="1"/>
  <c r="HV27" i="10" l="1"/>
  <c r="HW27" i="10"/>
  <c r="IY27" i="10"/>
  <c r="JB27" i="10" s="1"/>
  <c r="HW24" i="10"/>
  <c r="HV24" i="10"/>
  <c r="IY24" i="10"/>
  <c r="JB24" i="10"/>
  <c r="HV23" i="10"/>
  <c r="HW23" i="10"/>
  <c r="IY23" i="10"/>
  <c r="JB23" i="10" s="1"/>
  <c r="IZ8" i="10"/>
  <c r="JA8" i="10"/>
  <c r="JJ8" i="10"/>
  <c r="O9" i="9"/>
  <c r="P9" i="9"/>
  <c r="Q9" i="9"/>
  <c r="MC9" i="9"/>
  <c r="O8" i="9"/>
  <c r="R8" i="9" s="1"/>
  <c r="P8" i="9"/>
  <c r="Q8" i="9"/>
  <c r="MC8" i="9"/>
  <c r="N7" i="9"/>
  <c r="IW4" i="10"/>
  <c r="IW28" i="10" s="1"/>
  <c r="IU28" i="10"/>
  <c r="DL7" i="10"/>
  <c r="DM7" i="10" s="1"/>
  <c r="CM7" i="10"/>
  <c r="DY7" i="10"/>
  <c r="DL14" i="10"/>
  <c r="DM14" i="10" s="1"/>
  <c r="CM14" i="10"/>
  <c r="DY14" i="10"/>
  <c r="DL18" i="10"/>
  <c r="DM18" i="10" s="1"/>
  <c r="CM18" i="10"/>
  <c r="DY18" i="10"/>
  <c r="CM20" i="10"/>
  <c r="DL20" i="10"/>
  <c r="DM20" i="10" s="1"/>
  <c r="DY20" i="10"/>
  <c r="CM24" i="10"/>
  <c r="DL24" i="10"/>
  <c r="DM24" i="10" s="1"/>
  <c r="DY24" i="10"/>
  <c r="CM27" i="10"/>
  <c r="DL27" i="10"/>
  <c r="DM27" i="10" s="1"/>
  <c r="DY27" i="10"/>
  <c r="DL8" i="10"/>
  <c r="DM8" i="10" s="1"/>
  <c r="CM8" i="10"/>
  <c r="DL12" i="10"/>
  <c r="DM12" i="10" s="1"/>
  <c r="CM12" i="10"/>
  <c r="DY12" i="10"/>
  <c r="DL13" i="10"/>
  <c r="DM13" i="10" s="1"/>
  <c r="DY13" i="10"/>
  <c r="CM13" i="10"/>
  <c r="CM15" i="10"/>
  <c r="DL15" i="10"/>
  <c r="DM15" i="10" s="1"/>
  <c r="DY15" i="10"/>
  <c r="DL17" i="10"/>
  <c r="DM17" i="10" s="1"/>
  <c r="CM17" i="10"/>
  <c r="DY17" i="10"/>
  <c r="DL5" i="10"/>
  <c r="DM5" i="10" s="1"/>
  <c r="CM5" i="10"/>
  <c r="DY5" i="10"/>
  <c r="DY28" i="10" s="1"/>
  <c r="DL6" i="10"/>
  <c r="DM6" i="10" s="1"/>
  <c r="CM6" i="10"/>
  <c r="DY6" i="10"/>
  <c r="DL9" i="10"/>
  <c r="DM9" i="10" s="1"/>
  <c r="CM9" i="10"/>
  <c r="DY9" i="10"/>
  <c r="DL10" i="10"/>
  <c r="DM10" i="10" s="1"/>
  <c r="CM10" i="10"/>
  <c r="DY10" i="10"/>
  <c r="CM11" i="10"/>
  <c r="DL11" i="10"/>
  <c r="DM11" i="10" s="1"/>
  <c r="DY11" i="10"/>
  <c r="CM16" i="10"/>
  <c r="DL16" i="10"/>
  <c r="DM16" i="10" s="1"/>
  <c r="DY16" i="10"/>
  <c r="CM19" i="10"/>
  <c r="DL19" i="10"/>
  <c r="DM19" i="10" s="1"/>
  <c r="DY19" i="10"/>
  <c r="CM21" i="10"/>
  <c r="DL21" i="10"/>
  <c r="DM21" i="10" s="1"/>
  <c r="DY21" i="10"/>
  <c r="CM22" i="10"/>
  <c r="DL22" i="10"/>
  <c r="DM22" i="10" s="1"/>
  <c r="DY22" i="10"/>
  <c r="CM23" i="10"/>
  <c r="DL23" i="10"/>
  <c r="DM23" i="10" s="1"/>
  <c r="DY23" i="10"/>
  <c r="CM25" i="10"/>
  <c r="DL25" i="10"/>
  <c r="DM25" i="10" s="1"/>
  <c r="DY25" i="10"/>
  <c r="CM26" i="10"/>
  <c r="DL26" i="10"/>
  <c r="DM26" i="10" s="1"/>
  <c r="DY26" i="10"/>
  <c r="KY23" i="9"/>
  <c r="KO23" i="9"/>
  <c r="LC23" i="9" s="1"/>
  <c r="KW23" i="9"/>
  <c r="KU23" i="9"/>
  <c r="LA23" i="9"/>
  <c r="KW13" i="9"/>
  <c r="KO13" i="9"/>
  <c r="LA13" i="9"/>
  <c r="KU13" i="9"/>
  <c r="KY13" i="9"/>
  <c r="IY25" i="9"/>
  <c r="KM26" i="9"/>
  <c r="LC26" i="9" s="1"/>
  <c r="KC24" i="9"/>
  <c r="IY24" i="9"/>
  <c r="KM25" i="9"/>
  <c r="LC25" i="9" s="1"/>
  <c r="KC23" i="9"/>
  <c r="IY23" i="9"/>
  <c r="KM24" i="9"/>
  <c r="LC24" i="9" s="1"/>
  <c r="LN22" i="9"/>
  <c r="LM22" i="9"/>
  <c r="LP22" i="9" s="1"/>
  <c r="IZ22" i="9"/>
  <c r="LB23" i="9"/>
  <c r="JL22" i="9" s="1"/>
  <c r="KC21" i="9"/>
  <c r="IY21" i="9"/>
  <c r="KM22" i="9"/>
  <c r="LC22" i="9" s="1"/>
  <c r="KC20" i="9"/>
  <c r="IY20" i="9"/>
  <c r="KM21" i="9"/>
  <c r="LC21" i="9" s="1"/>
  <c r="KC19" i="9"/>
  <c r="IY19" i="9"/>
  <c r="KM20" i="9"/>
  <c r="LC20" i="9" s="1"/>
  <c r="KC18" i="9"/>
  <c r="IY18" i="9"/>
  <c r="KM19" i="9"/>
  <c r="LC19" i="9" s="1"/>
  <c r="IY17" i="9"/>
  <c r="KM18" i="9"/>
  <c r="LC18" i="9" s="1"/>
  <c r="KC17" i="9"/>
  <c r="KC16" i="9"/>
  <c r="IY16" i="9"/>
  <c r="KM17" i="9"/>
  <c r="LC17" i="9" s="1"/>
  <c r="KC15" i="9"/>
  <c r="IY15" i="9"/>
  <c r="KM16" i="9"/>
  <c r="LC16" i="9" s="1"/>
  <c r="IY14" i="9"/>
  <c r="KM15" i="9"/>
  <c r="LC15" i="9" s="1"/>
  <c r="KC14" i="9"/>
  <c r="IY13" i="9"/>
  <c r="KM14" i="9"/>
  <c r="LC14" i="9" s="1"/>
  <c r="KC13" i="9"/>
  <c r="LM12" i="9"/>
  <c r="LP12" i="9" s="1"/>
  <c r="LB13" i="9"/>
  <c r="IZ12" i="9"/>
  <c r="KC11" i="9"/>
  <c r="IY11" i="9"/>
  <c r="KM12" i="9"/>
  <c r="LC12" i="9" s="1"/>
  <c r="KC10" i="9"/>
  <c r="KM11" i="9"/>
  <c r="LC11" i="9" s="1"/>
  <c r="IY10" i="9"/>
  <c r="IY9" i="9"/>
  <c r="KM10" i="9"/>
  <c r="LC10" i="9" s="1"/>
  <c r="KC9" i="9"/>
  <c r="IY8" i="9"/>
  <c r="KM9" i="9"/>
  <c r="LC9" i="9" s="1"/>
  <c r="KC8" i="9"/>
  <c r="MG35" i="9"/>
  <c r="MN35" i="9"/>
  <c r="MO35" i="9" s="1"/>
  <c r="MP35" i="9" s="1"/>
  <c r="R25" i="9"/>
  <c r="Q25" i="9"/>
  <c r="IY7" i="9"/>
  <c r="KM8" i="9"/>
  <c r="LC8" i="9" s="1"/>
  <c r="KC7" i="9"/>
  <c r="O17" i="9"/>
  <c r="R17" i="9" s="1"/>
  <c r="P17" i="9"/>
  <c r="Q17" i="9"/>
  <c r="MC17" i="9"/>
  <c r="LJ26" i="9"/>
  <c r="KC6" i="9"/>
  <c r="JU26" i="9"/>
  <c r="KC26" i="9" s="1"/>
  <c r="HZ26" i="9"/>
  <c r="HZ27" i="9" s="1"/>
  <c r="HR27" i="9"/>
  <c r="K10" i="9"/>
  <c r="IY6" i="9"/>
  <c r="KM7" i="9"/>
  <c r="II26" i="9"/>
  <c r="KO7" i="9"/>
  <c r="KO27" i="9" s="1"/>
  <c r="IK26" i="9"/>
  <c r="KU7" i="9"/>
  <c r="KU27" i="9" s="1"/>
  <c r="IQ26" i="9"/>
  <c r="KW7" i="9"/>
  <c r="KW27" i="9" s="1"/>
  <c r="IS26" i="9"/>
  <c r="KY7" i="9"/>
  <c r="KY27" i="9" s="1"/>
  <c r="IU26" i="9"/>
  <c r="LA7" i="9"/>
  <c r="LA27" i="9" s="1"/>
  <c r="IW26" i="9"/>
  <c r="O16" i="9"/>
  <c r="R16" i="9" s="1"/>
  <c r="P16" i="9"/>
  <c r="Q16" i="9"/>
  <c r="MC16" i="9"/>
  <c r="AJ19" i="9"/>
  <c r="AJ16" i="9"/>
  <c r="L16" i="9"/>
  <c r="M16" i="9"/>
  <c r="M9" i="9"/>
  <c r="I9" i="9"/>
  <c r="J9" i="9"/>
  <c r="H12" i="9"/>
  <c r="G9" i="9"/>
  <c r="CG9" i="9" s="1"/>
  <c r="CH9" i="9" s="1"/>
  <c r="CF9" i="9"/>
  <c r="CI9" i="9" s="1"/>
  <c r="CJ9" i="9" s="1"/>
  <c r="F12" i="9"/>
  <c r="LA4" i="9"/>
  <c r="JX4" i="9"/>
  <c r="JZ4" i="9" s="1"/>
  <c r="HS4" i="9"/>
  <c r="HU4" i="9" s="1"/>
  <c r="HW4" i="9" s="1"/>
  <c r="IV4" i="9"/>
  <c r="DM4" i="10"/>
  <c r="DL28" i="10"/>
  <c r="CM28" i="10"/>
  <c r="FF8" i="9"/>
  <c r="IW21" i="10"/>
  <c r="IV21" i="10"/>
  <c r="IW19" i="10"/>
  <c r="IV19" i="10"/>
  <c r="IW16" i="10"/>
  <c r="IV16" i="10"/>
  <c r="IW14" i="10"/>
  <c r="IV14" i="10"/>
  <c r="IV28" i="10" s="1"/>
  <c r="HW27" i="8"/>
  <c r="HV27" i="8"/>
  <c r="IY27" i="8"/>
  <c r="JB27" i="8"/>
  <c r="HW24" i="8"/>
  <c r="HV24" i="8"/>
  <c r="IY24" i="8"/>
  <c r="JB24" i="8" s="1"/>
  <c r="HV23" i="8"/>
  <c r="HW23" i="8"/>
  <c r="IY23" i="8"/>
  <c r="JB23" i="8"/>
  <c r="IZ8" i="8"/>
  <c r="JA8" i="8"/>
  <c r="JJ8" i="8"/>
  <c r="IU28" i="8"/>
  <c r="IW4" i="8"/>
  <c r="IW28" i="8" s="1"/>
  <c r="KY15" i="7"/>
  <c r="LA15" i="7"/>
  <c r="KO15" i="7"/>
  <c r="LC15" i="7" s="1"/>
  <c r="KU15" i="7"/>
  <c r="KW15" i="7"/>
  <c r="KU20" i="7"/>
  <c r="KY20" i="7"/>
  <c r="LA20" i="7"/>
  <c r="KW20" i="7"/>
  <c r="KO20" i="7"/>
  <c r="LC20" i="7" s="1"/>
  <c r="KC25" i="7"/>
  <c r="IY25" i="7"/>
  <c r="KM26" i="7"/>
  <c r="LC26" i="7" s="1"/>
  <c r="IY24" i="7"/>
  <c r="KM25" i="7"/>
  <c r="KC24" i="7"/>
  <c r="LM23" i="7"/>
  <c r="LP23" i="7" s="1"/>
  <c r="LB24" i="7"/>
  <c r="IZ23" i="7"/>
  <c r="KM23" i="7"/>
  <c r="LC23" i="7" s="1"/>
  <c r="IY22" i="7"/>
  <c r="KC22" i="7"/>
  <c r="KM22" i="7"/>
  <c r="IY21" i="7"/>
  <c r="KC21" i="7"/>
  <c r="IY20" i="7"/>
  <c r="KM21" i="7"/>
  <c r="KC20" i="7"/>
  <c r="LN19" i="7"/>
  <c r="LB20" i="7"/>
  <c r="JL19" i="7" s="1"/>
  <c r="LM19" i="7"/>
  <c r="LP19" i="7" s="1"/>
  <c r="IZ19" i="7"/>
  <c r="KM19" i="7"/>
  <c r="IY18" i="7"/>
  <c r="KC18" i="7"/>
  <c r="KC17" i="7"/>
  <c r="IY17" i="7"/>
  <c r="KM18" i="7"/>
  <c r="KC16" i="7"/>
  <c r="IY16" i="7"/>
  <c r="KM17" i="7"/>
  <c r="LC17" i="7" s="1"/>
  <c r="KC15" i="7"/>
  <c r="IY15" i="7"/>
  <c r="KM16" i="7"/>
  <c r="LC16" i="7" s="1"/>
  <c r="LM14" i="7"/>
  <c r="LP14" i="7" s="1"/>
  <c r="LB15" i="7"/>
  <c r="IZ14" i="7"/>
  <c r="KC13" i="7"/>
  <c r="IY13" i="7"/>
  <c r="KM14" i="7"/>
  <c r="LC14" i="7" s="1"/>
  <c r="KC12" i="7"/>
  <c r="IY12" i="7"/>
  <c r="KM13" i="7"/>
  <c r="LC13" i="7" s="1"/>
  <c r="KM12" i="7"/>
  <c r="LC12" i="7" s="1"/>
  <c r="IY11" i="7"/>
  <c r="KC11" i="7"/>
  <c r="KC10" i="7"/>
  <c r="IY10" i="7"/>
  <c r="KM11" i="7"/>
  <c r="LC11" i="7" s="1"/>
  <c r="KC9" i="7"/>
  <c r="IY9" i="7"/>
  <c r="KM10" i="7"/>
  <c r="LC10" i="7" s="1"/>
  <c r="IY8" i="7"/>
  <c r="KM9" i="7"/>
  <c r="LC9" i="7" s="1"/>
  <c r="KC8" i="7"/>
  <c r="MG8" i="7"/>
  <c r="KQ8" i="7"/>
  <c r="KQ27" i="7" s="1"/>
  <c r="KS8" i="7"/>
  <c r="KS27" i="7" s="1"/>
  <c r="JJ26" i="7"/>
  <c r="KJ27" i="7" s="1"/>
  <c r="MC35" i="7"/>
  <c r="N25" i="7"/>
  <c r="KC7" i="7"/>
  <c r="IY7" i="7"/>
  <c r="KM8" i="7"/>
  <c r="LC8" i="7" s="1"/>
  <c r="H22" i="7"/>
  <c r="I12" i="7"/>
  <c r="J12" i="7"/>
  <c r="R9" i="7"/>
  <c r="CG9" i="7"/>
  <c r="CH9" i="7" s="1"/>
  <c r="G12" i="7"/>
  <c r="CG11" i="7" s="1"/>
  <c r="CH11" i="7" s="1"/>
  <c r="CF11" i="7"/>
  <c r="CI11" i="7" s="1"/>
  <c r="CJ11" i="7" s="1"/>
  <c r="F22" i="7"/>
  <c r="IY6" i="7"/>
  <c r="KM7" i="7"/>
  <c r="II26" i="7"/>
  <c r="KO7" i="7"/>
  <c r="IK26" i="7"/>
  <c r="KU7" i="7"/>
  <c r="IQ26" i="7"/>
  <c r="KW7" i="7"/>
  <c r="IS26" i="7"/>
  <c r="KY7" i="7"/>
  <c r="IU26" i="7"/>
  <c r="LA7" i="7"/>
  <c r="IW26" i="7"/>
  <c r="LJ26" i="7"/>
  <c r="KC6" i="7"/>
  <c r="JU26" i="7"/>
  <c r="KC26" i="7" s="1"/>
  <c r="HR27" i="7"/>
  <c r="HZ26" i="7"/>
  <c r="HZ27" i="7" s="1"/>
  <c r="K10" i="7"/>
  <c r="L16" i="7"/>
  <c r="M16" i="7"/>
  <c r="AJ19" i="7"/>
  <c r="AJ20" i="7" s="1"/>
  <c r="AJ16" i="7"/>
  <c r="LA4" i="7"/>
  <c r="JX4" i="7"/>
  <c r="JZ4" i="7" s="1"/>
  <c r="IV4" i="7"/>
  <c r="HS4" i="7"/>
  <c r="HU4" i="7" s="1"/>
  <c r="HW4" i="7" s="1"/>
  <c r="IV28" i="8"/>
  <c r="KU25" i="7"/>
  <c r="KO25" i="7"/>
  <c r="LA25" i="7"/>
  <c r="KY25" i="7"/>
  <c r="KW25" i="7"/>
  <c r="KY22" i="7"/>
  <c r="LA22" i="7"/>
  <c r="KO22" i="7"/>
  <c r="KW22" i="7"/>
  <c r="KU22" i="7"/>
  <c r="KU21" i="7"/>
  <c r="KY21" i="7"/>
  <c r="KO21" i="7"/>
  <c r="KW21" i="7"/>
  <c r="LA21" i="7"/>
  <c r="KU19" i="7"/>
  <c r="KY19" i="7"/>
  <c r="KW19" i="7"/>
  <c r="LA19" i="7"/>
  <c r="KO19" i="7"/>
  <c r="KW18" i="7"/>
  <c r="LA18" i="7"/>
  <c r="KU18" i="7"/>
  <c r="KY18" i="7"/>
  <c r="KO18" i="7"/>
  <c r="KO16" i="7"/>
  <c r="KU16" i="7"/>
  <c r="KY16" i="7"/>
  <c r="KW16" i="7"/>
  <c r="LA13" i="7"/>
  <c r="KU13" i="7"/>
  <c r="KO12" i="7"/>
  <c r="KU12" i="7"/>
  <c r="KY12" i="7"/>
  <c r="KW12" i="7"/>
  <c r="LA12" i="7"/>
  <c r="KO11" i="7"/>
  <c r="KU11" i="7"/>
  <c r="KW11" i="7"/>
  <c r="KY11" i="7"/>
  <c r="LA11" i="7"/>
  <c r="IW26" i="8"/>
  <c r="IV26" i="8"/>
  <c r="IW25" i="8"/>
  <c r="IV25" i="8"/>
  <c r="IW20" i="8"/>
  <c r="IV20" i="8"/>
  <c r="IW16" i="8"/>
  <c r="IV16" i="8"/>
  <c r="IW11" i="8"/>
  <c r="IV11" i="8"/>
  <c r="IW9" i="8"/>
  <c r="IV9" i="8"/>
  <c r="IV17" i="8"/>
  <c r="IS28" i="8"/>
  <c r="KK24" i="7"/>
  <c r="KM24" i="7"/>
  <c r="DM6" i="8"/>
  <c r="DL28" i="8"/>
  <c r="DY28" i="6"/>
  <c r="IU13" i="6"/>
  <c r="DL28" i="6"/>
  <c r="DM4" i="6"/>
  <c r="CM28" i="6"/>
  <c r="IU20" i="6"/>
  <c r="IU10" i="6"/>
  <c r="IT27" i="6"/>
  <c r="HT27" i="6"/>
  <c r="HB27" i="6"/>
  <c r="IS28" i="6"/>
  <c r="IU7" i="6"/>
  <c r="IU18" i="6"/>
  <c r="IT24" i="6"/>
  <c r="HT24" i="6"/>
  <c r="HB24" i="6"/>
  <c r="IU9" i="6"/>
  <c r="IU11" i="6"/>
  <c r="IU14" i="6"/>
  <c r="IU12" i="6"/>
  <c r="IU16" i="6"/>
  <c r="IT23" i="6"/>
  <c r="HT23" i="6"/>
  <c r="HB23" i="6"/>
  <c r="IU19" i="6"/>
  <c r="IW19" i="6" s="1"/>
  <c r="IV19" i="6"/>
  <c r="IU22" i="6"/>
  <c r="IU21" i="6"/>
  <c r="ET28" i="6"/>
  <c r="DN28" i="6"/>
  <c r="DO4" i="6"/>
  <c r="CK28" i="6"/>
  <c r="BP28" i="6"/>
  <c r="JJ8" i="6"/>
  <c r="IZ8" i="6"/>
  <c r="JA8" i="6" s="1"/>
  <c r="CF11" i="5"/>
  <c r="CI11" i="5" s="1"/>
  <c r="CJ11" i="5" s="1"/>
  <c r="F22" i="5"/>
  <c r="G12" i="5"/>
  <c r="CG11" i="5" s="1"/>
  <c r="CH11" i="5" s="1"/>
  <c r="R9" i="5"/>
  <c r="CG9" i="5"/>
  <c r="CH9" i="5" s="1"/>
  <c r="H22" i="5"/>
  <c r="J12" i="5"/>
  <c r="I12" i="5"/>
  <c r="K12" i="5"/>
  <c r="M10" i="5"/>
  <c r="L10" i="5"/>
  <c r="LJ28" i="5"/>
  <c r="LP26" i="5"/>
  <c r="X14" i="5"/>
  <c r="Y14" i="5"/>
  <c r="Z14" i="5"/>
  <c r="K21" i="5"/>
  <c r="L14" i="5"/>
  <c r="M14" i="5"/>
  <c r="AH16" i="5"/>
  <c r="AH19" i="5"/>
  <c r="LB28" i="5"/>
  <c r="IY27" i="5"/>
  <c r="IZ26" i="5"/>
  <c r="R25" i="5"/>
  <c r="Q25" i="5"/>
  <c r="MN35" i="5"/>
  <c r="MO35" i="5" s="1"/>
  <c r="MP35" i="5" s="1"/>
  <c r="MG35" i="5"/>
  <c r="KQ28" i="5"/>
  <c r="N16" i="5"/>
  <c r="KS28" i="5"/>
  <c r="N17" i="5"/>
  <c r="M15" i="5"/>
  <c r="L15" i="5"/>
  <c r="AI16" i="5"/>
  <c r="AI19" i="5"/>
  <c r="AI20" i="5" s="1"/>
  <c r="M16" i="5"/>
  <c r="L16" i="5"/>
  <c r="AJ16" i="5"/>
  <c r="AJ19" i="5"/>
  <c r="M19" i="5"/>
  <c r="L19" i="5"/>
  <c r="M18" i="5"/>
  <c r="L18" i="5"/>
  <c r="M20" i="5"/>
  <c r="L20" i="5"/>
  <c r="LA26" i="5"/>
  <c r="KY26" i="5"/>
  <c r="KW26" i="5"/>
  <c r="KU26" i="5"/>
  <c r="KO26" i="5"/>
  <c r="LC26" i="5" s="1"/>
  <c r="LA25" i="5"/>
  <c r="KY25" i="5"/>
  <c r="KW25" i="5"/>
  <c r="KU25" i="5"/>
  <c r="KO25" i="5"/>
  <c r="LC25" i="5" s="1"/>
  <c r="LA24" i="5"/>
  <c r="KY24" i="5"/>
  <c r="KW24" i="5"/>
  <c r="KU24" i="5"/>
  <c r="KO24" i="5"/>
  <c r="LC24" i="5" s="1"/>
  <c r="LA23" i="5"/>
  <c r="KY23" i="5"/>
  <c r="KW23" i="5"/>
  <c r="KU23" i="5"/>
  <c r="KO23" i="5"/>
  <c r="LC23" i="5" s="1"/>
  <c r="LA22" i="5"/>
  <c r="KY22" i="5"/>
  <c r="KW22" i="5"/>
  <c r="KU22" i="5"/>
  <c r="KO22" i="5"/>
  <c r="LC22" i="5" s="1"/>
  <c r="LA21" i="5"/>
  <c r="KY21" i="5"/>
  <c r="KW21" i="5"/>
  <c r="KU21" i="5"/>
  <c r="KO21" i="5"/>
  <c r="LC21" i="5" s="1"/>
  <c r="LA20" i="5"/>
  <c r="KY20" i="5"/>
  <c r="KW20" i="5"/>
  <c r="KU20" i="5"/>
  <c r="KO20" i="5"/>
  <c r="LC20" i="5" s="1"/>
  <c r="KY18" i="5"/>
  <c r="KU18" i="5"/>
  <c r="LA18" i="5"/>
  <c r="KW18" i="5"/>
  <c r="KO18" i="5"/>
  <c r="LC18" i="5" s="1"/>
  <c r="LA17" i="5"/>
  <c r="KY17" i="5"/>
  <c r="KW17" i="5"/>
  <c r="KU17" i="5"/>
  <c r="KO17" i="5"/>
  <c r="LC17" i="5" s="1"/>
  <c r="LA16" i="5"/>
  <c r="KY16" i="5"/>
  <c r="KW16" i="5"/>
  <c r="KU16" i="5"/>
  <c r="KO16" i="5"/>
  <c r="LC16" i="5" s="1"/>
  <c r="KY19" i="5"/>
  <c r="KO19" i="5"/>
  <c r="LA19" i="5"/>
  <c r="KW19" i="5"/>
  <c r="KU19" i="5"/>
  <c r="KU13" i="5"/>
  <c r="KY13" i="5"/>
  <c r="KW13" i="5"/>
  <c r="LA13" i="5"/>
  <c r="KO13" i="5"/>
  <c r="LC13" i="5" s="1"/>
  <c r="LA12" i="5"/>
  <c r="KY12" i="5"/>
  <c r="KW12" i="5"/>
  <c r="KU12" i="5"/>
  <c r="KO12" i="5"/>
  <c r="LC12" i="5" s="1"/>
  <c r="KU9" i="5"/>
  <c r="KY9" i="5"/>
  <c r="LA9" i="5"/>
  <c r="KW9" i="5"/>
  <c r="KO9" i="5"/>
  <c r="LC9" i="5" s="1"/>
  <c r="JL8" i="5" s="1"/>
  <c r="LN8" i="5"/>
  <c r="LA8" i="5"/>
  <c r="KY8" i="5"/>
  <c r="KW8" i="5"/>
  <c r="KU8" i="5"/>
  <c r="KO8" i="5"/>
  <c r="KM27" i="5"/>
  <c r="LC7" i="5"/>
  <c r="KW15" i="5"/>
  <c r="KU15" i="5"/>
  <c r="KO15" i="5"/>
  <c r="LC15" i="5" s="1"/>
  <c r="LA15" i="5"/>
  <c r="KY15" i="5"/>
  <c r="LA10" i="5"/>
  <c r="KU10" i="5"/>
  <c r="KW10" i="5"/>
  <c r="KY10" i="5"/>
  <c r="KO10" i="5"/>
  <c r="LC10" i="5" s="1"/>
  <c r="IU26" i="6"/>
  <c r="IU25" i="6"/>
  <c r="IU6" i="6"/>
  <c r="IU5" i="6"/>
  <c r="IU4" i="6"/>
  <c r="MN7" i="5"/>
  <c r="MO7" i="5" s="1"/>
  <c r="MP7" i="5" s="1"/>
  <c r="MD7" i="5"/>
  <c r="MG8" i="5"/>
  <c r="KY14" i="5"/>
  <c r="LA14" i="5"/>
  <c r="KW14" i="5"/>
  <c r="KO14" i="5"/>
  <c r="LC14" i="5" s="1"/>
  <c r="KU14" i="5"/>
  <c r="KO11" i="5"/>
  <c r="KU11" i="5"/>
  <c r="KW11" i="5"/>
  <c r="KY11" i="5"/>
  <c r="LA11" i="5"/>
  <c r="LM26" i="5"/>
  <c r="HV27" i="4"/>
  <c r="HW27" i="4"/>
  <c r="IY27" i="4"/>
  <c r="JB27" i="4"/>
  <c r="HV24" i="4"/>
  <c r="HW24" i="4"/>
  <c r="IY24" i="4"/>
  <c r="JB24" i="4"/>
  <c r="HV23" i="4"/>
  <c r="HW23" i="4"/>
  <c r="IY23" i="4"/>
  <c r="JB23" i="4"/>
  <c r="IZ8" i="4"/>
  <c r="JJ8" i="4"/>
  <c r="JA8" i="4"/>
  <c r="O9" i="3"/>
  <c r="MC9" i="3"/>
  <c r="Q9" i="3"/>
  <c r="P9" i="3"/>
  <c r="MD8" i="3"/>
  <c r="LW8" i="3"/>
  <c r="MF8" i="3"/>
  <c r="MN8" i="3"/>
  <c r="MO8" i="3" s="1"/>
  <c r="MP8" i="3" s="1"/>
  <c r="O7" i="3"/>
  <c r="R7" i="3" s="1"/>
  <c r="P7" i="3"/>
  <c r="Q7" i="3"/>
  <c r="MC7" i="3"/>
  <c r="IW4" i="4"/>
  <c r="IW28" i="4" s="1"/>
  <c r="IU28" i="4"/>
  <c r="CM7" i="4"/>
  <c r="DL7" i="4"/>
  <c r="DM7" i="4" s="1"/>
  <c r="DY7" i="4"/>
  <c r="CM12" i="4"/>
  <c r="DL12" i="4"/>
  <c r="DM12" i="4" s="1"/>
  <c r="DY12" i="4"/>
  <c r="CM13" i="4"/>
  <c r="DL13" i="4"/>
  <c r="DM13" i="4" s="1"/>
  <c r="DY13" i="4"/>
  <c r="DL14" i="4"/>
  <c r="DM14" i="4" s="1"/>
  <c r="CM14" i="4"/>
  <c r="DY14" i="4"/>
  <c r="CM16" i="4"/>
  <c r="DL16" i="4"/>
  <c r="DM16" i="4" s="1"/>
  <c r="DY16" i="4"/>
  <c r="CM18" i="4"/>
  <c r="DL18" i="4"/>
  <c r="DM18" i="4" s="1"/>
  <c r="DY18" i="4"/>
  <c r="CM19" i="4"/>
  <c r="DL19" i="4"/>
  <c r="DM19" i="4" s="1"/>
  <c r="DY19" i="4"/>
  <c r="CM20" i="4"/>
  <c r="DL20" i="4"/>
  <c r="DM20" i="4" s="1"/>
  <c r="DY20" i="4"/>
  <c r="CM22" i="4"/>
  <c r="DL22" i="4"/>
  <c r="DM22" i="4" s="1"/>
  <c r="DY22" i="4"/>
  <c r="CM23" i="4"/>
  <c r="DL23" i="4"/>
  <c r="DM23" i="4" s="1"/>
  <c r="DY23" i="4"/>
  <c r="CM24" i="4"/>
  <c r="DL24" i="4"/>
  <c r="DM24" i="4" s="1"/>
  <c r="DY24" i="4"/>
  <c r="CM25" i="4"/>
  <c r="DL25" i="4"/>
  <c r="DM25" i="4" s="1"/>
  <c r="DY25" i="4"/>
  <c r="DY26" i="4"/>
  <c r="CM26" i="4"/>
  <c r="DL26" i="4"/>
  <c r="DM26" i="4" s="1"/>
  <c r="CM27" i="4"/>
  <c r="DL27" i="4"/>
  <c r="DM27" i="4" s="1"/>
  <c r="DY27" i="4"/>
  <c r="CM8" i="4"/>
  <c r="DL8" i="4"/>
  <c r="DM8" i="4" s="1"/>
  <c r="DY8" i="4"/>
  <c r="CM9" i="4"/>
  <c r="DL9" i="4"/>
  <c r="DM9" i="4" s="1"/>
  <c r="DY9" i="4"/>
  <c r="CM10" i="4"/>
  <c r="DL10" i="4"/>
  <c r="DM10" i="4" s="1"/>
  <c r="DY10" i="4"/>
  <c r="CM15" i="4"/>
  <c r="DL15" i="4"/>
  <c r="DM15" i="4" s="1"/>
  <c r="DY15" i="4"/>
  <c r="CM17" i="4"/>
  <c r="DL17" i="4"/>
  <c r="DM17" i="4" s="1"/>
  <c r="DY17" i="4"/>
  <c r="CM11" i="4"/>
  <c r="DL11" i="4"/>
  <c r="DM11" i="4" s="1"/>
  <c r="DY11" i="4"/>
  <c r="CM6" i="4"/>
  <c r="DL6" i="4"/>
  <c r="DM6" i="4" s="1"/>
  <c r="DY6" i="4"/>
  <c r="CM5" i="4"/>
  <c r="DL5" i="4"/>
  <c r="DM5" i="4" s="1"/>
  <c r="CM21" i="4"/>
  <c r="DL21" i="4"/>
  <c r="DM21" i="4" s="1"/>
  <c r="DY21" i="4"/>
  <c r="KW11" i="3"/>
  <c r="LA11" i="3"/>
  <c r="KY11" i="3"/>
  <c r="KU11" i="3"/>
  <c r="KO11" i="3"/>
  <c r="LC11" i="3" s="1"/>
  <c r="KY13" i="3"/>
  <c r="LA13" i="3"/>
  <c r="KW13" i="3"/>
  <c r="KO13" i="3"/>
  <c r="LC13" i="3" s="1"/>
  <c r="KU13" i="3"/>
  <c r="KC25" i="3"/>
  <c r="IY25" i="3"/>
  <c r="KM26" i="3"/>
  <c r="LC26" i="3" s="1"/>
  <c r="KM25" i="3"/>
  <c r="LC25" i="3" s="1"/>
  <c r="IY24" i="3"/>
  <c r="KC24" i="3"/>
  <c r="IY23" i="3"/>
  <c r="KM24" i="3"/>
  <c r="LC24" i="3" s="1"/>
  <c r="KC23" i="3"/>
  <c r="KC22" i="3"/>
  <c r="IY22" i="3"/>
  <c r="KM23" i="3"/>
  <c r="LC23" i="3" s="1"/>
  <c r="IY21" i="3"/>
  <c r="KM22" i="3"/>
  <c r="LC22" i="3" s="1"/>
  <c r="KC21" i="3"/>
  <c r="KC20" i="3"/>
  <c r="IY20" i="3"/>
  <c r="KM21" i="3"/>
  <c r="LC21" i="3" s="1"/>
  <c r="IY19" i="3"/>
  <c r="KM20" i="3"/>
  <c r="LC20" i="3" s="1"/>
  <c r="KC19" i="3"/>
  <c r="IY18" i="3"/>
  <c r="KM19" i="3"/>
  <c r="LC19" i="3" s="1"/>
  <c r="KC18" i="3"/>
  <c r="IY17" i="3"/>
  <c r="KM18" i="3"/>
  <c r="LC18" i="3" s="1"/>
  <c r="KC17" i="3"/>
  <c r="IY16" i="3"/>
  <c r="KM17" i="3"/>
  <c r="LC17" i="3" s="1"/>
  <c r="KC16" i="3"/>
  <c r="KC15" i="3"/>
  <c r="IY15" i="3"/>
  <c r="KM16" i="3"/>
  <c r="LC16" i="3" s="1"/>
  <c r="IY14" i="3"/>
  <c r="KM15" i="3"/>
  <c r="KC14" i="3"/>
  <c r="KC13" i="3"/>
  <c r="IY13" i="3"/>
  <c r="KM14" i="3"/>
  <c r="IZ12" i="3"/>
  <c r="LB13" i="3"/>
  <c r="LM12" i="3"/>
  <c r="LP12" i="3" s="1"/>
  <c r="KC11" i="3"/>
  <c r="KM12" i="3"/>
  <c r="IY11" i="3"/>
  <c r="LB11" i="3"/>
  <c r="IZ10" i="3"/>
  <c r="LM10" i="3"/>
  <c r="LP10" i="3" s="1"/>
  <c r="KM10" i="3"/>
  <c r="IY9" i="3"/>
  <c r="KC9" i="3"/>
  <c r="KC8" i="3"/>
  <c r="IY8" i="3"/>
  <c r="KM9" i="3"/>
  <c r="R25" i="3"/>
  <c r="Q25" i="3"/>
  <c r="MG35" i="3"/>
  <c r="MN35" i="3"/>
  <c r="MO35" i="3" s="1"/>
  <c r="MP35" i="3" s="1"/>
  <c r="IY7" i="3"/>
  <c r="KM8" i="3"/>
  <c r="KC7" i="3"/>
  <c r="P17" i="3"/>
  <c r="MC17" i="3"/>
  <c r="O17" i="3"/>
  <c r="R17" i="3" s="1"/>
  <c r="Q17" i="3"/>
  <c r="IY6" i="3"/>
  <c r="KM7" i="3"/>
  <c r="II26" i="3"/>
  <c r="KO7" i="3"/>
  <c r="IK26" i="3"/>
  <c r="KU7" i="3"/>
  <c r="IQ26" i="3"/>
  <c r="KW7" i="3"/>
  <c r="IS26" i="3"/>
  <c r="KY7" i="3"/>
  <c r="IU26" i="3"/>
  <c r="LA7" i="3"/>
  <c r="IW26" i="3"/>
  <c r="LJ26" i="3"/>
  <c r="KC6" i="3"/>
  <c r="JU26" i="3"/>
  <c r="KC26" i="3" s="1"/>
  <c r="HZ26" i="3"/>
  <c r="HZ27" i="3" s="1"/>
  <c r="HR27" i="3"/>
  <c r="K10" i="3"/>
  <c r="P16" i="3"/>
  <c r="MC16" i="3"/>
  <c r="O16" i="3"/>
  <c r="R16" i="3" s="1"/>
  <c r="Q16" i="3"/>
  <c r="AJ19" i="3"/>
  <c r="AJ16" i="3"/>
  <c r="L16" i="3"/>
  <c r="M16" i="3"/>
  <c r="M9" i="3"/>
  <c r="H12" i="3"/>
  <c r="J9" i="3"/>
  <c r="I9" i="3"/>
  <c r="G9" i="3"/>
  <c r="CG9" i="3" s="1"/>
  <c r="CH9" i="3" s="1"/>
  <c r="F12" i="3"/>
  <c r="CF9" i="3"/>
  <c r="CI9" i="3" s="1"/>
  <c r="CJ9" i="3" s="1"/>
  <c r="LA4" i="3"/>
  <c r="JX4" i="3"/>
  <c r="JZ4" i="3" s="1"/>
  <c r="IV4" i="3"/>
  <c r="HS4" i="3"/>
  <c r="HU4" i="3" s="1"/>
  <c r="HW4" i="3" s="1"/>
  <c r="CM28" i="4"/>
  <c r="DL28" i="4"/>
  <c r="DM4" i="4"/>
  <c r="KO21" i="3"/>
  <c r="KU21" i="3"/>
  <c r="KY21" i="3"/>
  <c r="KW21" i="3"/>
  <c r="LA21" i="3"/>
  <c r="KO18" i="3"/>
  <c r="KU18" i="3"/>
  <c r="KY18" i="3"/>
  <c r="KW18" i="3"/>
  <c r="LA18" i="3"/>
  <c r="KO17" i="3"/>
  <c r="KW17" i="3"/>
  <c r="KU17" i="3"/>
  <c r="KY17" i="3"/>
  <c r="LA17" i="3"/>
  <c r="KO16" i="3"/>
  <c r="KU16" i="3"/>
  <c r="KY16" i="3"/>
  <c r="LA16" i="3"/>
  <c r="KW16" i="3"/>
  <c r="KO15" i="3"/>
  <c r="KY15" i="3"/>
  <c r="KU15" i="3"/>
  <c r="KW15" i="3"/>
  <c r="LA15" i="3"/>
  <c r="KU14" i="3"/>
  <c r="KO14" i="3"/>
  <c r="LA14" i="3"/>
  <c r="KW14" i="3"/>
  <c r="KY14" i="3"/>
  <c r="LA12" i="3"/>
  <c r="KW12" i="3"/>
  <c r="KY12" i="3"/>
  <c r="KO12" i="3"/>
  <c r="KU12" i="3"/>
  <c r="LA10" i="3"/>
  <c r="KU10" i="3"/>
  <c r="KW10" i="3"/>
  <c r="KO10" i="3"/>
  <c r="KY10" i="3"/>
  <c r="KW9" i="3"/>
  <c r="KY9" i="3"/>
  <c r="LA9" i="3"/>
  <c r="KO9" i="3"/>
  <c r="KU9" i="3"/>
  <c r="KO8" i="3"/>
  <c r="KU8" i="3"/>
  <c r="KW8" i="3"/>
  <c r="KY8" i="3"/>
  <c r="LA8" i="3"/>
  <c r="IW12" i="4"/>
  <c r="IV12" i="4"/>
  <c r="IW11" i="4"/>
  <c r="IV11" i="4"/>
  <c r="IW9" i="4"/>
  <c r="IV9" i="4"/>
  <c r="IW7" i="4"/>
  <c r="IV7" i="4"/>
  <c r="IW6" i="4"/>
  <c r="IV6" i="4"/>
  <c r="IV28" i="4" s="1"/>
  <c r="DY5" i="4"/>
  <c r="DY28" i="4" s="1"/>
  <c r="P28" i="4"/>
  <c r="CJ22" i="1"/>
  <c r="IZ27" i="10" l="1"/>
  <c r="JA27" i="10"/>
  <c r="JJ27" i="10"/>
  <c r="JJ24" i="10"/>
  <c r="IZ24" i="10"/>
  <c r="JA24" i="10" s="1"/>
  <c r="IZ23" i="10"/>
  <c r="JA23" i="10" s="1"/>
  <c r="JJ23" i="10"/>
  <c r="JY8" i="10"/>
  <c r="JL8" i="10"/>
  <c r="JM8" i="10"/>
  <c r="JT8" i="10"/>
  <c r="JW8" i="10" s="1"/>
  <c r="MN9" i="9"/>
  <c r="MO9" i="9" s="1"/>
  <c r="MP9" i="9" s="1"/>
  <c r="MD9" i="9"/>
  <c r="MD8" i="9"/>
  <c r="MF8" i="9"/>
  <c r="MN8" i="9"/>
  <c r="MO8" i="9" s="1"/>
  <c r="MP8" i="9" s="1"/>
  <c r="LW8" i="9"/>
  <c r="O7" i="9"/>
  <c r="R7" i="9" s="1"/>
  <c r="P7" i="9"/>
  <c r="Q7" i="9"/>
  <c r="MC7" i="9"/>
  <c r="LM25" i="9"/>
  <c r="LP25" i="9" s="1"/>
  <c r="LB26" i="9"/>
  <c r="IZ25" i="9"/>
  <c r="JL25" i="9"/>
  <c r="LN25" i="9"/>
  <c r="IZ24" i="9"/>
  <c r="LM24" i="9"/>
  <c r="LP24" i="9" s="1"/>
  <c r="LB25" i="9"/>
  <c r="LN24" i="9"/>
  <c r="JL24" i="9"/>
  <c r="LM23" i="9"/>
  <c r="LP23" i="9" s="1"/>
  <c r="LB24" i="9"/>
  <c r="IZ23" i="9"/>
  <c r="LN23" i="9"/>
  <c r="JL23" i="9"/>
  <c r="JV22" i="9"/>
  <c r="KD22" i="9" s="1"/>
  <c r="LK22" i="9" s="1"/>
  <c r="LQ22" i="9" s="1"/>
  <c r="JT22" i="9"/>
  <c r="IZ21" i="9"/>
  <c r="LM21" i="9"/>
  <c r="LP21" i="9" s="1"/>
  <c r="LB22" i="9"/>
  <c r="LN21" i="9"/>
  <c r="JL21" i="9"/>
  <c r="IZ20" i="9"/>
  <c r="LM20" i="9"/>
  <c r="LP20" i="9" s="1"/>
  <c r="LB21" i="9"/>
  <c r="JL20" i="9"/>
  <c r="LN20" i="9"/>
  <c r="IZ19" i="9"/>
  <c r="LM19" i="9"/>
  <c r="LP19" i="9" s="1"/>
  <c r="LB20" i="9"/>
  <c r="JL19" i="9"/>
  <c r="LN19" i="9"/>
  <c r="IZ18" i="9"/>
  <c r="LM18" i="9"/>
  <c r="LP18" i="9" s="1"/>
  <c r="LB19" i="9"/>
  <c r="JL18" i="9"/>
  <c r="LN18" i="9"/>
  <c r="IZ17" i="9"/>
  <c r="LM17" i="9"/>
  <c r="LP17" i="9" s="1"/>
  <c r="LB18" i="9"/>
  <c r="JL17" i="9"/>
  <c r="LN17" i="9"/>
  <c r="IZ16" i="9"/>
  <c r="LM16" i="9"/>
  <c r="LP16" i="9" s="1"/>
  <c r="LB17" i="9"/>
  <c r="JL16" i="9"/>
  <c r="LN16" i="9"/>
  <c r="IZ15" i="9"/>
  <c r="LM15" i="9"/>
  <c r="LP15" i="9" s="1"/>
  <c r="LB16" i="9"/>
  <c r="JL15" i="9"/>
  <c r="LN15" i="9"/>
  <c r="IZ14" i="9"/>
  <c r="LM14" i="9"/>
  <c r="LP14" i="9" s="1"/>
  <c r="LB15" i="9"/>
  <c r="JL14" i="9"/>
  <c r="LN14" i="9"/>
  <c r="IZ13" i="9"/>
  <c r="LM13" i="9"/>
  <c r="LP13" i="9" s="1"/>
  <c r="LB14" i="9"/>
  <c r="JL13" i="9"/>
  <c r="LN13" i="9"/>
  <c r="LM11" i="9"/>
  <c r="LP11" i="9" s="1"/>
  <c r="IZ11" i="9"/>
  <c r="LB12" i="9"/>
  <c r="JL11" i="9" s="1"/>
  <c r="LN11" i="9"/>
  <c r="LN10" i="9"/>
  <c r="IZ10" i="9"/>
  <c r="LB11" i="9"/>
  <c r="JL10" i="9" s="1"/>
  <c r="LM10" i="9"/>
  <c r="LP10" i="9" s="1"/>
  <c r="LM9" i="9"/>
  <c r="LP9" i="9" s="1"/>
  <c r="LB10" i="9"/>
  <c r="IZ9" i="9"/>
  <c r="LN9" i="9"/>
  <c r="JL9" i="9"/>
  <c r="IZ8" i="9"/>
  <c r="LM8" i="9"/>
  <c r="LP8" i="9" s="1"/>
  <c r="LB9" i="9"/>
  <c r="JL8" i="9"/>
  <c r="LN8" i="9"/>
  <c r="IZ7" i="9"/>
  <c r="LM7" i="9"/>
  <c r="LP7" i="9" s="1"/>
  <c r="LB8" i="9"/>
  <c r="JL7" i="9"/>
  <c r="LN7" i="9"/>
  <c r="MD17" i="9"/>
  <c r="MF17" i="9"/>
  <c r="MG17" i="9" s="1"/>
  <c r="MN17" i="9"/>
  <c r="MO17" i="9" s="1"/>
  <c r="MP17" i="9" s="1"/>
  <c r="C7" i="10"/>
  <c r="K12" i="9"/>
  <c r="M10" i="9"/>
  <c r="L10" i="9"/>
  <c r="IZ6" i="9"/>
  <c r="LM6" i="9"/>
  <c r="LB7" i="9"/>
  <c r="LC7" i="9"/>
  <c r="KM27" i="9"/>
  <c r="IY26" i="9"/>
  <c r="II27" i="9"/>
  <c r="AH15" i="9" s="1"/>
  <c r="KL28" i="9"/>
  <c r="K14" i="9"/>
  <c r="AH17" i="9"/>
  <c r="N15" i="9"/>
  <c r="IK27" i="9"/>
  <c r="AI15" i="9" s="1"/>
  <c r="KN28" i="9"/>
  <c r="KO28" i="9" s="1"/>
  <c r="K15" i="9"/>
  <c r="AI17" i="9"/>
  <c r="N19" i="9"/>
  <c r="IQ27" i="9"/>
  <c r="KT28" i="9"/>
  <c r="KU28" i="9" s="1"/>
  <c r="K19" i="9"/>
  <c r="IS27" i="9"/>
  <c r="KV28" i="9"/>
  <c r="KW28" i="9" s="1"/>
  <c r="N18" i="9"/>
  <c r="IU27" i="9"/>
  <c r="KX28" i="9"/>
  <c r="KY28" i="9" s="1"/>
  <c r="K18" i="9"/>
  <c r="N20" i="9"/>
  <c r="IW27" i="9"/>
  <c r="KZ28" i="9"/>
  <c r="LA28" i="9" s="1"/>
  <c r="K20" i="9"/>
  <c r="MD16" i="9"/>
  <c r="MF16" i="9"/>
  <c r="MG16" i="9" s="1"/>
  <c r="MN16" i="9"/>
  <c r="MO16" i="9" s="1"/>
  <c r="MP16" i="9" s="1"/>
  <c r="C6" i="10"/>
  <c r="AJ21" i="9"/>
  <c r="AJ20" i="9"/>
  <c r="I12" i="9"/>
  <c r="J12" i="9"/>
  <c r="H22" i="9"/>
  <c r="CF11" i="9"/>
  <c r="CI11" i="9" s="1"/>
  <c r="CJ11" i="9" s="1"/>
  <c r="G12" i="9"/>
  <c r="CG11" i="9" s="1"/>
  <c r="CH11" i="9" s="1"/>
  <c r="F22" i="9"/>
  <c r="R9" i="9"/>
  <c r="LC13" i="9"/>
  <c r="IZ27" i="8"/>
  <c r="JJ27" i="8"/>
  <c r="JA27" i="8"/>
  <c r="JJ24" i="8"/>
  <c r="IZ24" i="8"/>
  <c r="JA24" i="8" s="1"/>
  <c r="IZ23" i="8"/>
  <c r="JA23" i="8"/>
  <c r="JJ23" i="8"/>
  <c r="JY8" i="8"/>
  <c r="JL8" i="8"/>
  <c r="JM8" i="8"/>
  <c r="JT8" i="8"/>
  <c r="JW8" i="8" s="1"/>
  <c r="LM25" i="7"/>
  <c r="LP25" i="7" s="1"/>
  <c r="IZ25" i="7"/>
  <c r="LB26" i="7"/>
  <c r="JL25" i="7"/>
  <c r="LN25" i="7"/>
  <c r="LB25" i="7"/>
  <c r="IZ24" i="7"/>
  <c r="LM24" i="7"/>
  <c r="LP24" i="7" s="1"/>
  <c r="LN22" i="7"/>
  <c r="IZ22" i="7"/>
  <c r="LB23" i="7"/>
  <c r="JL22" i="7" s="1"/>
  <c r="LM22" i="7"/>
  <c r="LP22" i="7" s="1"/>
  <c r="LB22" i="7"/>
  <c r="LM21" i="7"/>
  <c r="LP21" i="7" s="1"/>
  <c r="IZ21" i="7"/>
  <c r="IZ20" i="7"/>
  <c r="LM20" i="7"/>
  <c r="LP20" i="7" s="1"/>
  <c r="LB21" i="7"/>
  <c r="JV19" i="7"/>
  <c r="KD19" i="7" s="1"/>
  <c r="LK19" i="7" s="1"/>
  <c r="LQ19" i="7" s="1"/>
  <c r="JT19" i="7"/>
  <c r="LB19" i="7"/>
  <c r="LM18" i="7"/>
  <c r="LP18" i="7" s="1"/>
  <c r="IZ18" i="7"/>
  <c r="LM17" i="7"/>
  <c r="LP17" i="7" s="1"/>
  <c r="IZ17" i="7"/>
  <c r="LB18" i="7"/>
  <c r="LM16" i="7"/>
  <c r="LP16" i="7" s="1"/>
  <c r="IZ16" i="7"/>
  <c r="LB17" i="7"/>
  <c r="JL16" i="7"/>
  <c r="LN16" i="7"/>
  <c r="LM15" i="7"/>
  <c r="LP15" i="7" s="1"/>
  <c r="IZ15" i="7"/>
  <c r="LB16" i="7"/>
  <c r="LN15" i="7"/>
  <c r="JL15" i="7"/>
  <c r="IZ13" i="7"/>
  <c r="LB14" i="7"/>
  <c r="LM13" i="7"/>
  <c r="LP13" i="7" s="1"/>
  <c r="LN13" i="7"/>
  <c r="JL13" i="7"/>
  <c r="IZ12" i="7"/>
  <c r="LM12" i="7"/>
  <c r="LP12" i="7" s="1"/>
  <c r="LB13" i="7"/>
  <c r="JL12" i="7"/>
  <c r="LN12" i="7"/>
  <c r="LN11" i="7"/>
  <c r="LB12" i="7"/>
  <c r="JL11" i="7" s="1"/>
  <c r="IZ11" i="7"/>
  <c r="LM11" i="7"/>
  <c r="LP11" i="7" s="1"/>
  <c r="IZ10" i="7"/>
  <c r="LM10" i="7"/>
  <c r="LP10" i="7" s="1"/>
  <c r="LB11" i="7"/>
  <c r="JL10" i="7"/>
  <c r="LN10" i="7"/>
  <c r="IZ9" i="7"/>
  <c r="LM9" i="7"/>
  <c r="LP9" i="7" s="1"/>
  <c r="LB10" i="7"/>
  <c r="JL9" i="7"/>
  <c r="LN9" i="7"/>
  <c r="IZ8" i="7"/>
  <c r="LM8" i="7"/>
  <c r="LP8" i="7" s="1"/>
  <c r="LB9" i="7"/>
  <c r="JL8" i="7"/>
  <c r="LN8" i="7"/>
  <c r="AJ21" i="7"/>
  <c r="KQ28" i="7"/>
  <c r="N16" i="7"/>
  <c r="N17" i="7"/>
  <c r="KS28" i="7"/>
  <c r="MN35" i="7"/>
  <c r="MO35" i="7" s="1"/>
  <c r="MP35" i="7" s="1"/>
  <c r="MG35" i="7"/>
  <c r="Q25" i="7"/>
  <c r="R25" i="7"/>
  <c r="IZ7" i="7"/>
  <c r="LM7" i="7"/>
  <c r="LP7" i="7" s="1"/>
  <c r="LB8" i="7"/>
  <c r="JL7" i="7"/>
  <c r="LN7" i="7"/>
  <c r="J22" i="7"/>
  <c r="I22" i="7"/>
  <c r="G22" i="7"/>
  <c r="CG20" i="7" s="1"/>
  <c r="CH20" i="7" s="1"/>
  <c r="CF20" i="7"/>
  <c r="CI20" i="7" s="1"/>
  <c r="CJ20" i="7" s="1"/>
  <c r="IZ6" i="7"/>
  <c r="LM6" i="7"/>
  <c r="LB7" i="7"/>
  <c r="LC7" i="7"/>
  <c r="KM27" i="7"/>
  <c r="II27" i="7"/>
  <c r="AH15" i="7" s="1"/>
  <c r="KL28" i="7"/>
  <c r="AH17" i="7"/>
  <c r="K14" i="7"/>
  <c r="IY26" i="7"/>
  <c r="IK27" i="7"/>
  <c r="AI15" i="7" s="1"/>
  <c r="KN28" i="7"/>
  <c r="AI17" i="7"/>
  <c r="K15" i="7"/>
  <c r="KT28" i="7"/>
  <c r="K19" i="7"/>
  <c r="IQ27" i="7"/>
  <c r="KV28" i="7"/>
  <c r="IS27" i="7"/>
  <c r="K18" i="7"/>
  <c r="IU27" i="7"/>
  <c r="KX28" i="7"/>
  <c r="IW27" i="7"/>
  <c r="KZ28" i="7"/>
  <c r="K20" i="7"/>
  <c r="L10" i="7"/>
  <c r="M10" i="7"/>
  <c r="K12" i="7"/>
  <c r="KU24" i="7"/>
  <c r="KY24" i="7"/>
  <c r="LA24" i="7"/>
  <c r="KW24" i="7"/>
  <c r="KO24" i="7"/>
  <c r="LC24" i="7" s="1"/>
  <c r="LN23" i="7"/>
  <c r="JL23" i="7"/>
  <c r="KW27" i="7"/>
  <c r="KY27" i="7"/>
  <c r="LA27" i="7"/>
  <c r="KO27" i="7"/>
  <c r="LC22" i="7"/>
  <c r="LC21" i="7"/>
  <c r="LC25" i="7"/>
  <c r="LC19" i="7"/>
  <c r="LC18" i="7"/>
  <c r="KU27" i="7"/>
  <c r="JL14" i="7"/>
  <c r="LN14" i="7"/>
  <c r="IY27" i="6"/>
  <c r="JB27" i="6" s="1"/>
  <c r="HW27" i="6"/>
  <c r="HV27" i="6"/>
  <c r="IY24" i="6"/>
  <c r="JB24" i="6" s="1"/>
  <c r="HW24" i="6"/>
  <c r="HV24" i="6"/>
  <c r="IY23" i="6"/>
  <c r="JB23" i="6" s="1"/>
  <c r="HW23" i="6"/>
  <c r="HV23" i="6"/>
  <c r="JY8" i="6"/>
  <c r="JT8" i="6"/>
  <c r="JW8" i="6" s="1"/>
  <c r="JM8" i="6"/>
  <c r="JL8" i="6"/>
  <c r="CF20" i="5"/>
  <c r="CI20" i="5" s="1"/>
  <c r="CJ20" i="5" s="1"/>
  <c r="G22" i="5"/>
  <c r="CG20" i="5" s="1"/>
  <c r="CH20" i="5" s="1"/>
  <c r="J22" i="5"/>
  <c r="I22" i="5"/>
  <c r="L12" i="5"/>
  <c r="M12" i="5"/>
  <c r="K22" i="5"/>
  <c r="AA14" i="5"/>
  <c r="X16" i="5"/>
  <c r="X15" i="5"/>
  <c r="Y16" i="5"/>
  <c r="Y15" i="5"/>
  <c r="Z16" i="5"/>
  <c r="Z15" i="5"/>
  <c r="M21" i="5"/>
  <c r="L21" i="5"/>
  <c r="AL5" i="6"/>
  <c r="AH20" i="5"/>
  <c r="MC16" i="5"/>
  <c r="Q16" i="5"/>
  <c r="P16" i="5"/>
  <c r="O16" i="5"/>
  <c r="R16" i="5" s="1"/>
  <c r="MC17" i="5"/>
  <c r="Q17" i="5"/>
  <c r="P17" i="5"/>
  <c r="O17" i="5"/>
  <c r="R17" i="5" s="1"/>
  <c r="JL25" i="5"/>
  <c r="LN25" i="5"/>
  <c r="JL24" i="5"/>
  <c r="LN24" i="5"/>
  <c r="JL23" i="5"/>
  <c r="LN23" i="5"/>
  <c r="JL22" i="5"/>
  <c r="LN22" i="5"/>
  <c r="JL21" i="5"/>
  <c r="LN21" i="5"/>
  <c r="JL20" i="5"/>
  <c r="LN20" i="5"/>
  <c r="JL19" i="5"/>
  <c r="LN19" i="5"/>
  <c r="LN17" i="5"/>
  <c r="JL17" i="5"/>
  <c r="JL16" i="5"/>
  <c r="LN16" i="5"/>
  <c r="JL15" i="5"/>
  <c r="LN15" i="5"/>
  <c r="JL11" i="5"/>
  <c r="LN11" i="5"/>
  <c r="JV8" i="5"/>
  <c r="KD8" i="5" s="1"/>
  <c r="LK8" i="5" s="1"/>
  <c r="LQ8" i="5" s="1"/>
  <c r="JT8" i="5"/>
  <c r="KO27" i="5"/>
  <c r="LC8" i="5"/>
  <c r="AH21" i="5"/>
  <c r="N14" i="5"/>
  <c r="KM28" i="5"/>
  <c r="LN6" i="5"/>
  <c r="JL6" i="5"/>
  <c r="LN14" i="5"/>
  <c r="JL14" i="5"/>
  <c r="IV26" i="6"/>
  <c r="IW26" i="6"/>
  <c r="IV25" i="6"/>
  <c r="IW25" i="6"/>
  <c r="IW6" i="6"/>
  <c r="IV6" i="6"/>
  <c r="IW5" i="6"/>
  <c r="IV5" i="6"/>
  <c r="IU28" i="6"/>
  <c r="IW4" i="6"/>
  <c r="IW28" i="6" s="1"/>
  <c r="IV4" i="6"/>
  <c r="JL13" i="5"/>
  <c r="LN13" i="5"/>
  <c r="LC19" i="5"/>
  <c r="KW27" i="5"/>
  <c r="KW28" i="5" s="1"/>
  <c r="LA27" i="5"/>
  <c r="KY27" i="5"/>
  <c r="LC27" i="5" s="1"/>
  <c r="KU27" i="5"/>
  <c r="LC11" i="5"/>
  <c r="IW13" i="6"/>
  <c r="IV13" i="6"/>
  <c r="IW20" i="6"/>
  <c r="IV20" i="6"/>
  <c r="IW10" i="6"/>
  <c r="IV10" i="6"/>
  <c r="IW7" i="6"/>
  <c r="IV7" i="6"/>
  <c r="IW18" i="6"/>
  <c r="IV18" i="6"/>
  <c r="IW9" i="6"/>
  <c r="IV9" i="6"/>
  <c r="IW11" i="6"/>
  <c r="IV11" i="6"/>
  <c r="IW14" i="6"/>
  <c r="IV14" i="6"/>
  <c r="IW12" i="6"/>
  <c r="IV12" i="6"/>
  <c r="IW16" i="6"/>
  <c r="IV16" i="6"/>
  <c r="IW22" i="6"/>
  <c r="IV22" i="6"/>
  <c r="IW21" i="6"/>
  <c r="IV21" i="6"/>
  <c r="AJ20" i="5"/>
  <c r="AJ21" i="5"/>
  <c r="LN12" i="5"/>
  <c r="JL12" i="5"/>
  <c r="JL9" i="5"/>
  <c r="LN9" i="5"/>
  <c r="IZ27" i="4"/>
  <c r="JA27" i="4"/>
  <c r="JJ27" i="4"/>
  <c r="IZ24" i="4"/>
  <c r="JA24" i="4"/>
  <c r="JJ24" i="4"/>
  <c r="IZ23" i="4"/>
  <c r="JA23" i="4"/>
  <c r="JJ23" i="4"/>
  <c r="JY8" i="4"/>
  <c r="JT8" i="4"/>
  <c r="JW8" i="4" s="1"/>
  <c r="JL8" i="4"/>
  <c r="JM8" i="4"/>
  <c r="MN9" i="3"/>
  <c r="MO9" i="3" s="1"/>
  <c r="MP9" i="3" s="1"/>
  <c r="MD9" i="3"/>
  <c r="MG8" i="3"/>
  <c r="MD7" i="3"/>
  <c r="MN7" i="3"/>
  <c r="MO7" i="3" s="1"/>
  <c r="MP7" i="3" s="1"/>
  <c r="IZ25" i="3"/>
  <c r="LM25" i="3"/>
  <c r="LP25" i="3" s="1"/>
  <c r="LB26" i="3"/>
  <c r="JL25" i="3"/>
  <c r="LN25" i="3"/>
  <c r="LN24" i="3"/>
  <c r="IZ24" i="3"/>
  <c r="LM24" i="3"/>
  <c r="LP24" i="3" s="1"/>
  <c r="LB25" i="3"/>
  <c r="JL24" i="3" s="1"/>
  <c r="IZ23" i="3"/>
  <c r="LM23" i="3"/>
  <c r="LP23" i="3" s="1"/>
  <c r="LB24" i="3"/>
  <c r="JL23" i="3" s="1"/>
  <c r="LN23" i="3"/>
  <c r="IZ22" i="3"/>
  <c r="LM22" i="3"/>
  <c r="LP22" i="3" s="1"/>
  <c r="LB23" i="3"/>
  <c r="JL22" i="3"/>
  <c r="LN22" i="3"/>
  <c r="IZ21" i="3"/>
  <c r="LM21" i="3"/>
  <c r="LP21" i="3" s="1"/>
  <c r="LB22" i="3"/>
  <c r="LN21" i="3"/>
  <c r="JL21" i="3"/>
  <c r="IZ20" i="3"/>
  <c r="LM20" i="3"/>
  <c r="LP20" i="3" s="1"/>
  <c r="LB21" i="3"/>
  <c r="JL20" i="3"/>
  <c r="LN20" i="3"/>
  <c r="LB20" i="3"/>
  <c r="IZ19" i="3"/>
  <c r="LM19" i="3"/>
  <c r="LP19" i="3" s="1"/>
  <c r="LN19" i="3"/>
  <c r="JL19" i="3"/>
  <c r="IZ18" i="3"/>
  <c r="LM18" i="3"/>
  <c r="LP18" i="3" s="1"/>
  <c r="LB19" i="3"/>
  <c r="JL18" i="3"/>
  <c r="LN18" i="3"/>
  <c r="IZ17" i="3"/>
  <c r="LM17" i="3"/>
  <c r="LP17" i="3" s="1"/>
  <c r="LB18" i="3"/>
  <c r="LN17" i="3"/>
  <c r="JL17" i="3"/>
  <c r="IZ16" i="3"/>
  <c r="LM16" i="3"/>
  <c r="LP16" i="3" s="1"/>
  <c r="LB17" i="3"/>
  <c r="JL16" i="3"/>
  <c r="LN16" i="3"/>
  <c r="IZ15" i="3"/>
  <c r="LM15" i="3"/>
  <c r="LP15" i="3" s="1"/>
  <c r="LB16" i="3"/>
  <c r="JL15" i="3"/>
  <c r="LN15" i="3"/>
  <c r="IZ14" i="3"/>
  <c r="LM14" i="3"/>
  <c r="LP14" i="3" s="1"/>
  <c r="LB15" i="3"/>
  <c r="LM13" i="3"/>
  <c r="LP13" i="3" s="1"/>
  <c r="LB14" i="3"/>
  <c r="IZ13" i="3"/>
  <c r="IZ11" i="3"/>
  <c r="LM11" i="3"/>
  <c r="LP11" i="3" s="1"/>
  <c r="LB12" i="3"/>
  <c r="LM9" i="3"/>
  <c r="LP9" i="3" s="1"/>
  <c r="LB10" i="3"/>
  <c r="IZ9" i="3"/>
  <c r="IZ8" i="3"/>
  <c r="LM8" i="3"/>
  <c r="LP8" i="3" s="1"/>
  <c r="LB9" i="3"/>
  <c r="IZ7" i="3"/>
  <c r="LM7" i="3"/>
  <c r="LP7" i="3" s="1"/>
  <c r="LB8" i="3"/>
  <c r="C7" i="4"/>
  <c r="MD17" i="3"/>
  <c r="MF17" i="3"/>
  <c r="MG17" i="3" s="1"/>
  <c r="MN17" i="3"/>
  <c r="MO17" i="3" s="1"/>
  <c r="MP17" i="3" s="1"/>
  <c r="IZ6" i="3"/>
  <c r="LM6" i="3"/>
  <c r="LB7" i="3"/>
  <c r="LC7" i="3"/>
  <c r="KM27" i="3"/>
  <c r="IY26" i="3"/>
  <c r="II27" i="3"/>
  <c r="AH15" i="3" s="1"/>
  <c r="KL28" i="3"/>
  <c r="AH17" i="3"/>
  <c r="K14" i="3"/>
  <c r="IK27" i="3"/>
  <c r="AI15" i="3" s="1"/>
  <c r="KN28" i="3"/>
  <c r="K15" i="3"/>
  <c r="AI17" i="3"/>
  <c r="IQ27" i="3"/>
  <c r="K19" i="3"/>
  <c r="KT28" i="3"/>
  <c r="IS27" i="3"/>
  <c r="KV28" i="3"/>
  <c r="IU27" i="3"/>
  <c r="K18" i="3"/>
  <c r="KX28" i="3"/>
  <c r="IW27" i="3"/>
  <c r="K20" i="3"/>
  <c r="KZ28" i="3"/>
  <c r="K12" i="3"/>
  <c r="M10" i="3"/>
  <c r="L10" i="3"/>
  <c r="MF16" i="3"/>
  <c r="MG16" i="3" s="1"/>
  <c r="MN16" i="3"/>
  <c r="MO16" i="3" s="1"/>
  <c r="MP16" i="3" s="1"/>
  <c r="MD16" i="3"/>
  <c r="C6" i="4"/>
  <c r="AJ21" i="3"/>
  <c r="AJ20" i="3"/>
  <c r="H22" i="3"/>
  <c r="J12" i="3"/>
  <c r="I12" i="3"/>
  <c r="CF11" i="3"/>
  <c r="CI11" i="3" s="1"/>
  <c r="CJ11" i="3" s="1"/>
  <c r="G12" i="3"/>
  <c r="CG11" i="3" s="1"/>
  <c r="CH11" i="3" s="1"/>
  <c r="F22" i="3"/>
  <c r="R9" i="3"/>
  <c r="LC15" i="3"/>
  <c r="LC14" i="3"/>
  <c r="LC9" i="3"/>
  <c r="LC12" i="3"/>
  <c r="LC10" i="3"/>
  <c r="LC8" i="3"/>
  <c r="KO27" i="3"/>
  <c r="KU27" i="3"/>
  <c r="KW27" i="3"/>
  <c r="KW28" i="3" s="1"/>
  <c r="KY27" i="3"/>
  <c r="LA27" i="3"/>
  <c r="JL10" i="3"/>
  <c r="LN10" i="3"/>
  <c r="JL12" i="3"/>
  <c r="LN12" i="3"/>
  <c r="KS7" i="1"/>
  <c r="JY27" i="10" l="1"/>
  <c r="JL27" i="10"/>
  <c r="JM27" i="10"/>
  <c r="JT27" i="10"/>
  <c r="JY24" i="10"/>
  <c r="JM24" i="10"/>
  <c r="JT24" i="10"/>
  <c r="JL24" i="10"/>
  <c r="JY23" i="10"/>
  <c r="JM23" i="10"/>
  <c r="JL23" i="10"/>
  <c r="JT23" i="10"/>
  <c r="MG8" i="9"/>
  <c r="MD7" i="9"/>
  <c r="MN7" i="9"/>
  <c r="MO7" i="9" s="1"/>
  <c r="MP7" i="9" s="1"/>
  <c r="JV25" i="9"/>
  <c r="KD25" i="9" s="1"/>
  <c r="LK25" i="9" s="1"/>
  <c r="LQ25" i="9" s="1"/>
  <c r="JT25" i="9"/>
  <c r="JV24" i="9"/>
  <c r="KD24" i="9" s="1"/>
  <c r="LK24" i="9" s="1"/>
  <c r="LQ24" i="9" s="1"/>
  <c r="JT24" i="9"/>
  <c r="JV23" i="9"/>
  <c r="KD23" i="9" s="1"/>
  <c r="LK23" i="9" s="1"/>
  <c r="LQ23" i="9" s="1"/>
  <c r="JT23" i="9"/>
  <c r="JV21" i="9"/>
  <c r="KD21" i="9" s="1"/>
  <c r="LK21" i="9" s="1"/>
  <c r="LQ21" i="9" s="1"/>
  <c r="JT21" i="9"/>
  <c r="JV20" i="9"/>
  <c r="KD20" i="9" s="1"/>
  <c r="LK20" i="9" s="1"/>
  <c r="LQ20" i="9" s="1"/>
  <c r="JT20" i="9"/>
  <c r="JV19" i="9"/>
  <c r="KD19" i="9" s="1"/>
  <c r="LK19" i="9" s="1"/>
  <c r="LQ19" i="9" s="1"/>
  <c r="JT19" i="9"/>
  <c r="JV18" i="9"/>
  <c r="KD18" i="9" s="1"/>
  <c r="LK18" i="9" s="1"/>
  <c r="LQ18" i="9" s="1"/>
  <c r="JT18" i="9"/>
  <c r="JV17" i="9"/>
  <c r="KD17" i="9" s="1"/>
  <c r="LK17" i="9" s="1"/>
  <c r="LQ17" i="9" s="1"/>
  <c r="JT17" i="9"/>
  <c r="JV16" i="9"/>
  <c r="KD16" i="9" s="1"/>
  <c r="LK16" i="9" s="1"/>
  <c r="LQ16" i="9" s="1"/>
  <c r="JT16" i="9"/>
  <c r="JV15" i="9"/>
  <c r="KD15" i="9" s="1"/>
  <c r="LK15" i="9" s="1"/>
  <c r="LQ15" i="9" s="1"/>
  <c r="JT15" i="9"/>
  <c r="JV14" i="9"/>
  <c r="KD14" i="9" s="1"/>
  <c r="LK14" i="9" s="1"/>
  <c r="LQ14" i="9" s="1"/>
  <c r="JT14" i="9"/>
  <c r="JV13" i="9"/>
  <c r="KD13" i="9" s="1"/>
  <c r="LK13" i="9" s="1"/>
  <c r="LQ13" i="9" s="1"/>
  <c r="JT13" i="9"/>
  <c r="JV11" i="9"/>
  <c r="KD11" i="9" s="1"/>
  <c r="LK11" i="9" s="1"/>
  <c r="LQ11" i="9" s="1"/>
  <c r="JT11" i="9"/>
  <c r="JV10" i="9"/>
  <c r="KD10" i="9" s="1"/>
  <c r="LK10" i="9" s="1"/>
  <c r="LQ10" i="9" s="1"/>
  <c r="JT10" i="9"/>
  <c r="JV9" i="9"/>
  <c r="KD9" i="9" s="1"/>
  <c r="LK9" i="9" s="1"/>
  <c r="LQ9" i="9" s="1"/>
  <c r="JT9" i="9"/>
  <c r="JV8" i="9"/>
  <c r="KD8" i="9" s="1"/>
  <c r="LK8" i="9" s="1"/>
  <c r="LQ8" i="9" s="1"/>
  <c r="JT8" i="9"/>
  <c r="JV7" i="9"/>
  <c r="KD7" i="9" s="1"/>
  <c r="LK7" i="9" s="1"/>
  <c r="LQ7" i="9" s="1"/>
  <c r="JT7" i="9"/>
  <c r="BZ9" i="10"/>
  <c r="L12" i="9"/>
  <c r="M12" i="9"/>
  <c r="LP6" i="9"/>
  <c r="LM26" i="9"/>
  <c r="LP26" i="9" s="1"/>
  <c r="JL6" i="9"/>
  <c r="LN6" i="9"/>
  <c r="LC27" i="9"/>
  <c r="KM28" i="9"/>
  <c r="N14" i="9"/>
  <c r="IZ26" i="9"/>
  <c r="IY27" i="9"/>
  <c r="LB28" i="9"/>
  <c r="AH19" i="9"/>
  <c r="AH21" i="9" s="1"/>
  <c r="AH16" i="9"/>
  <c r="L14" i="9"/>
  <c r="M14" i="9"/>
  <c r="K21" i="9"/>
  <c r="K22" i="9" s="1"/>
  <c r="O15" i="9"/>
  <c r="R15" i="9" s="1"/>
  <c r="P15" i="9"/>
  <c r="Q15" i="9"/>
  <c r="MC15" i="9"/>
  <c r="AI19" i="9"/>
  <c r="AI16" i="9"/>
  <c r="L15" i="9"/>
  <c r="M15" i="9"/>
  <c r="O19" i="9"/>
  <c r="R19" i="9" s="1"/>
  <c r="P19" i="9"/>
  <c r="Q19" i="9"/>
  <c r="MC19" i="9"/>
  <c r="L19" i="9"/>
  <c r="M19" i="9"/>
  <c r="O18" i="9"/>
  <c r="R18" i="9" s="1"/>
  <c r="P18" i="9"/>
  <c r="Q18" i="9"/>
  <c r="MC18" i="9"/>
  <c r="L18" i="9"/>
  <c r="M18" i="9"/>
  <c r="O20" i="9"/>
  <c r="R20" i="9" s="1"/>
  <c r="P20" i="9"/>
  <c r="Q20" i="9"/>
  <c r="MC20" i="9"/>
  <c r="L20" i="9"/>
  <c r="M20" i="9"/>
  <c r="BG6" i="10"/>
  <c r="BR28" i="10"/>
  <c r="BS28" i="10" s="1"/>
  <c r="I22" i="9"/>
  <c r="J22" i="9"/>
  <c r="CF20" i="9"/>
  <c r="CI20" i="9" s="1"/>
  <c r="CJ20" i="9" s="1"/>
  <c r="G22" i="9"/>
  <c r="CG20" i="9" s="1"/>
  <c r="CH20" i="9" s="1"/>
  <c r="LN12" i="9"/>
  <c r="JL12" i="9"/>
  <c r="JY27" i="8"/>
  <c r="JT27" i="8"/>
  <c r="JL27" i="8"/>
  <c r="JM27" i="8"/>
  <c r="JY24" i="8"/>
  <c r="JT24" i="8"/>
  <c r="JL24" i="8"/>
  <c r="JM24" i="8"/>
  <c r="JY23" i="8"/>
  <c r="JL23" i="8"/>
  <c r="JM23" i="8"/>
  <c r="JT23" i="8"/>
  <c r="JV25" i="7"/>
  <c r="KD25" i="7" s="1"/>
  <c r="LK25" i="7" s="1"/>
  <c r="LQ25" i="7" s="1"/>
  <c r="JT25" i="7"/>
  <c r="JV22" i="7"/>
  <c r="KD22" i="7" s="1"/>
  <c r="LK22" i="7" s="1"/>
  <c r="LQ22" i="7" s="1"/>
  <c r="JT22" i="7"/>
  <c r="JV16" i="7"/>
  <c r="KD16" i="7" s="1"/>
  <c r="LK16" i="7" s="1"/>
  <c r="LQ16" i="7" s="1"/>
  <c r="JT16" i="7"/>
  <c r="JV15" i="7"/>
  <c r="KD15" i="7" s="1"/>
  <c r="LK15" i="7" s="1"/>
  <c r="LQ15" i="7" s="1"/>
  <c r="JT15" i="7"/>
  <c r="JV13" i="7"/>
  <c r="KD13" i="7" s="1"/>
  <c r="LK13" i="7" s="1"/>
  <c r="LQ13" i="7" s="1"/>
  <c r="JT13" i="7"/>
  <c r="JV12" i="7"/>
  <c r="KD12" i="7" s="1"/>
  <c r="LK12" i="7" s="1"/>
  <c r="LQ12" i="7" s="1"/>
  <c r="JT12" i="7"/>
  <c r="JV11" i="7"/>
  <c r="KD11" i="7" s="1"/>
  <c r="LK11" i="7" s="1"/>
  <c r="LQ11" i="7" s="1"/>
  <c r="JT11" i="7"/>
  <c r="JV10" i="7"/>
  <c r="KD10" i="7" s="1"/>
  <c r="LK10" i="7" s="1"/>
  <c r="LQ10" i="7" s="1"/>
  <c r="JT10" i="7"/>
  <c r="JV9" i="7"/>
  <c r="KD9" i="7" s="1"/>
  <c r="LK9" i="7" s="1"/>
  <c r="LQ9" i="7" s="1"/>
  <c r="JT9" i="7"/>
  <c r="JV8" i="7"/>
  <c r="KD8" i="7" s="1"/>
  <c r="LK8" i="7" s="1"/>
  <c r="LQ8" i="7" s="1"/>
  <c r="JT8" i="7"/>
  <c r="P16" i="7"/>
  <c r="O16" i="7"/>
  <c r="R16" i="7" s="1"/>
  <c r="MC16" i="7"/>
  <c r="Q16" i="7"/>
  <c r="O17" i="7"/>
  <c r="R17" i="7" s="1"/>
  <c r="Q17" i="7"/>
  <c r="MC17" i="7"/>
  <c r="P17" i="7"/>
  <c r="JV7" i="7"/>
  <c r="KD7" i="7" s="1"/>
  <c r="LK7" i="7" s="1"/>
  <c r="LQ7" i="7" s="1"/>
  <c r="JT7" i="7"/>
  <c r="LP6" i="7"/>
  <c r="LM26" i="7"/>
  <c r="JL6" i="7"/>
  <c r="LN6" i="7"/>
  <c r="KM28" i="7"/>
  <c r="N14" i="7"/>
  <c r="LC27" i="7"/>
  <c r="AH19" i="7"/>
  <c r="AH21" i="7" s="1"/>
  <c r="AH16" i="7"/>
  <c r="M14" i="7"/>
  <c r="K21" i="7"/>
  <c r="L14" i="7"/>
  <c r="IZ26" i="7"/>
  <c r="LB28" i="7"/>
  <c r="IY27" i="7"/>
  <c r="AI19" i="7"/>
  <c r="AI20" i="7" s="1"/>
  <c r="AI16" i="7"/>
  <c r="M15" i="7"/>
  <c r="L15" i="7"/>
  <c r="L19" i="7"/>
  <c r="M19" i="7"/>
  <c r="M18" i="7"/>
  <c r="L18" i="7"/>
  <c r="M20" i="7"/>
  <c r="L20" i="7"/>
  <c r="L12" i="7"/>
  <c r="M12" i="7"/>
  <c r="K22" i="7"/>
  <c r="JV23" i="7"/>
  <c r="KD23" i="7" s="1"/>
  <c r="LK23" i="7" s="1"/>
  <c r="LQ23" i="7" s="1"/>
  <c r="JT23" i="7"/>
  <c r="N18" i="7"/>
  <c r="KY28" i="7"/>
  <c r="LA28" i="7"/>
  <c r="N20" i="7"/>
  <c r="KO28" i="7"/>
  <c r="N15" i="7"/>
  <c r="AI21" i="7"/>
  <c r="JL21" i="7"/>
  <c r="LN21" i="7"/>
  <c r="JL20" i="7"/>
  <c r="LN20" i="7"/>
  <c r="LN24" i="7"/>
  <c r="JL24" i="7"/>
  <c r="JL18" i="7"/>
  <c r="LN18" i="7"/>
  <c r="LN17" i="7"/>
  <c r="JL17" i="7"/>
  <c r="N19" i="7"/>
  <c r="KU28" i="7"/>
  <c r="JT14" i="7"/>
  <c r="JV14" i="7"/>
  <c r="KD14" i="7" s="1"/>
  <c r="LK14" i="7" s="1"/>
  <c r="LQ14" i="7" s="1"/>
  <c r="KW28" i="7"/>
  <c r="JJ27" i="6"/>
  <c r="IZ27" i="6"/>
  <c r="JA27" i="6" s="1"/>
  <c r="JJ24" i="6"/>
  <c r="IZ24" i="6"/>
  <c r="JA24" i="6" s="1"/>
  <c r="JJ23" i="6"/>
  <c r="IZ23" i="6"/>
  <c r="JA23" i="6" s="1"/>
  <c r="M22" i="5"/>
  <c r="L22" i="5"/>
  <c r="AA16" i="5"/>
  <c r="AA15" i="5"/>
  <c r="AV23" i="6"/>
  <c r="AV26" i="6"/>
  <c r="AV22" i="6"/>
  <c r="AV13" i="6"/>
  <c r="AV20" i="6"/>
  <c r="AV4" i="6"/>
  <c r="AV27" i="6"/>
  <c r="AV25" i="6"/>
  <c r="AV24" i="6"/>
  <c r="AV21" i="6"/>
  <c r="AV19" i="6"/>
  <c r="AV18" i="6"/>
  <c r="AV17" i="6"/>
  <c r="AV16" i="6"/>
  <c r="AV15" i="6"/>
  <c r="AV14" i="6"/>
  <c r="AV12" i="6"/>
  <c r="AV11" i="6"/>
  <c r="AV10" i="6"/>
  <c r="AV9" i="6"/>
  <c r="AV8" i="6"/>
  <c r="AV7" i="6"/>
  <c r="AV6" i="6"/>
  <c r="AV5" i="6"/>
  <c r="C6" i="6"/>
  <c r="MN16" i="5"/>
  <c r="MO16" i="5" s="1"/>
  <c r="MP16" i="5" s="1"/>
  <c r="MF16" i="5"/>
  <c r="MG16" i="5" s="1"/>
  <c r="MD16" i="5"/>
  <c r="C7" i="6"/>
  <c r="MN17" i="5"/>
  <c r="MO17" i="5" s="1"/>
  <c r="MP17" i="5" s="1"/>
  <c r="MF17" i="5"/>
  <c r="MG17" i="5" s="1"/>
  <c r="MD17" i="5"/>
  <c r="JV25" i="5"/>
  <c r="KD25" i="5" s="1"/>
  <c r="LK25" i="5" s="1"/>
  <c r="LQ25" i="5" s="1"/>
  <c r="JT25" i="5"/>
  <c r="JV24" i="5"/>
  <c r="KD24" i="5" s="1"/>
  <c r="LK24" i="5" s="1"/>
  <c r="LQ24" i="5" s="1"/>
  <c r="JT24" i="5"/>
  <c r="JV23" i="5"/>
  <c r="KD23" i="5" s="1"/>
  <c r="LK23" i="5" s="1"/>
  <c r="LQ23" i="5" s="1"/>
  <c r="JT23" i="5"/>
  <c r="JV22" i="5"/>
  <c r="KD22" i="5" s="1"/>
  <c r="LK22" i="5" s="1"/>
  <c r="LQ22" i="5" s="1"/>
  <c r="JT22" i="5"/>
  <c r="JV21" i="5"/>
  <c r="KD21" i="5" s="1"/>
  <c r="LK21" i="5" s="1"/>
  <c r="LQ21" i="5" s="1"/>
  <c r="JT21" i="5"/>
  <c r="JV20" i="5"/>
  <c r="KD20" i="5" s="1"/>
  <c r="LK20" i="5" s="1"/>
  <c r="LQ20" i="5" s="1"/>
  <c r="JT20" i="5"/>
  <c r="JV19" i="5"/>
  <c r="KD19" i="5" s="1"/>
  <c r="LK19" i="5" s="1"/>
  <c r="LQ19" i="5" s="1"/>
  <c r="JT19" i="5"/>
  <c r="JV17" i="5"/>
  <c r="KD17" i="5" s="1"/>
  <c r="LK17" i="5" s="1"/>
  <c r="LQ17" i="5" s="1"/>
  <c r="JT17" i="5"/>
  <c r="JV16" i="5"/>
  <c r="KD16" i="5" s="1"/>
  <c r="LK16" i="5" s="1"/>
  <c r="LQ16" i="5" s="1"/>
  <c r="JT16" i="5"/>
  <c r="JV15" i="5"/>
  <c r="KD15" i="5" s="1"/>
  <c r="LK15" i="5" s="1"/>
  <c r="LQ15" i="5" s="1"/>
  <c r="JT15" i="5"/>
  <c r="JV11" i="5"/>
  <c r="KD11" i="5" s="1"/>
  <c r="LK11" i="5" s="1"/>
  <c r="LQ11" i="5" s="1"/>
  <c r="JT11" i="5"/>
  <c r="KO28" i="5"/>
  <c r="N15" i="5"/>
  <c r="AI21" i="5"/>
  <c r="JL7" i="5"/>
  <c r="LN7" i="5"/>
  <c r="Q14" i="5"/>
  <c r="MC14" i="5"/>
  <c r="P14" i="5"/>
  <c r="O14" i="5"/>
  <c r="R14" i="5" s="1"/>
  <c r="JL26" i="5"/>
  <c r="JT26" i="5" s="1"/>
  <c r="LC28" i="5"/>
  <c r="JV6" i="5"/>
  <c r="JT6" i="5"/>
  <c r="JT14" i="5"/>
  <c r="JV14" i="5"/>
  <c r="KD14" i="5" s="1"/>
  <c r="LK14" i="5" s="1"/>
  <c r="LQ14" i="5" s="1"/>
  <c r="JV13" i="5"/>
  <c r="KD13" i="5" s="1"/>
  <c r="LK13" i="5" s="1"/>
  <c r="LQ13" i="5" s="1"/>
  <c r="JT13" i="5"/>
  <c r="JL18" i="5"/>
  <c r="LN18" i="5"/>
  <c r="LA28" i="5"/>
  <c r="N20" i="5"/>
  <c r="KY28" i="5"/>
  <c r="N18" i="5"/>
  <c r="N21" i="5" s="1"/>
  <c r="KU28" i="5"/>
  <c r="N19" i="5"/>
  <c r="LN10" i="5"/>
  <c r="JL10" i="5"/>
  <c r="JT12" i="5"/>
  <c r="JV12" i="5"/>
  <c r="KD12" i="5" s="1"/>
  <c r="LK12" i="5" s="1"/>
  <c r="LQ12" i="5" s="1"/>
  <c r="JT9" i="5"/>
  <c r="JV9" i="5"/>
  <c r="KD9" i="5" s="1"/>
  <c r="LK9" i="5" s="1"/>
  <c r="LQ9" i="5" s="1"/>
  <c r="IV28" i="6"/>
  <c r="JY27" i="4"/>
  <c r="JL27" i="4"/>
  <c r="JM27" i="4"/>
  <c r="JT27" i="4"/>
  <c r="JY24" i="4"/>
  <c r="JL24" i="4"/>
  <c r="JM24" i="4"/>
  <c r="JT24" i="4"/>
  <c r="JY23" i="4"/>
  <c r="JL23" i="4"/>
  <c r="JM23" i="4"/>
  <c r="JT23" i="4"/>
  <c r="JV25" i="3"/>
  <c r="KD25" i="3" s="1"/>
  <c r="LK25" i="3" s="1"/>
  <c r="LQ25" i="3" s="1"/>
  <c r="JT25" i="3"/>
  <c r="JV24" i="3"/>
  <c r="KD24" i="3" s="1"/>
  <c r="LK24" i="3" s="1"/>
  <c r="LQ24" i="3" s="1"/>
  <c r="JT24" i="3"/>
  <c r="JV23" i="3"/>
  <c r="KD23" i="3" s="1"/>
  <c r="LK23" i="3" s="1"/>
  <c r="LQ23" i="3" s="1"/>
  <c r="JT23" i="3"/>
  <c r="JV22" i="3"/>
  <c r="KD22" i="3" s="1"/>
  <c r="LK22" i="3" s="1"/>
  <c r="LQ22" i="3" s="1"/>
  <c r="JT22" i="3"/>
  <c r="JV21" i="3"/>
  <c r="KD21" i="3" s="1"/>
  <c r="LK21" i="3" s="1"/>
  <c r="LQ21" i="3" s="1"/>
  <c r="JT21" i="3"/>
  <c r="JV20" i="3"/>
  <c r="KD20" i="3" s="1"/>
  <c r="LK20" i="3" s="1"/>
  <c r="LQ20" i="3" s="1"/>
  <c r="JT20" i="3"/>
  <c r="JV19" i="3"/>
  <c r="KD19" i="3" s="1"/>
  <c r="LK19" i="3" s="1"/>
  <c r="LQ19" i="3" s="1"/>
  <c r="JT19" i="3"/>
  <c r="JV18" i="3"/>
  <c r="KD18" i="3" s="1"/>
  <c r="LK18" i="3" s="1"/>
  <c r="LQ18" i="3" s="1"/>
  <c r="JT18" i="3"/>
  <c r="JV17" i="3"/>
  <c r="KD17" i="3" s="1"/>
  <c r="LK17" i="3" s="1"/>
  <c r="LQ17" i="3" s="1"/>
  <c r="JT17" i="3"/>
  <c r="JV16" i="3"/>
  <c r="KD16" i="3" s="1"/>
  <c r="LK16" i="3" s="1"/>
  <c r="LQ16" i="3" s="1"/>
  <c r="JT16" i="3"/>
  <c r="JV15" i="3"/>
  <c r="KD15" i="3" s="1"/>
  <c r="LK15" i="3" s="1"/>
  <c r="LQ15" i="3" s="1"/>
  <c r="JT15" i="3"/>
  <c r="BZ9" i="4"/>
  <c r="LP6" i="3"/>
  <c r="LM26" i="3"/>
  <c r="JL6" i="3"/>
  <c r="LN6" i="3"/>
  <c r="LN26" i="3" s="1"/>
  <c r="LC27" i="3"/>
  <c r="KM28" i="3"/>
  <c r="N14" i="3"/>
  <c r="IZ26" i="3"/>
  <c r="IY27" i="3"/>
  <c r="LB28" i="3"/>
  <c r="AH19" i="3"/>
  <c r="AH21" i="3" s="1"/>
  <c r="AH16" i="3"/>
  <c r="L14" i="3"/>
  <c r="M14" i="3"/>
  <c r="K21" i="3"/>
  <c r="AI16" i="3"/>
  <c r="AI19" i="3"/>
  <c r="AI20" i="3" s="1"/>
  <c r="L15" i="3"/>
  <c r="M15" i="3"/>
  <c r="L19" i="3"/>
  <c r="M19" i="3"/>
  <c r="M18" i="3"/>
  <c r="L18" i="3"/>
  <c r="L20" i="3"/>
  <c r="M20" i="3"/>
  <c r="L12" i="3"/>
  <c r="M12" i="3"/>
  <c r="K22" i="3"/>
  <c r="BR28" i="4"/>
  <c r="BS28" i="4" s="1"/>
  <c r="BG6" i="4"/>
  <c r="J22" i="3"/>
  <c r="I22" i="3"/>
  <c r="G22" i="3"/>
  <c r="CG20" i="3" s="1"/>
  <c r="CH20" i="3" s="1"/>
  <c r="CF20" i="3"/>
  <c r="CI20" i="3" s="1"/>
  <c r="CJ20" i="3" s="1"/>
  <c r="LN14" i="3"/>
  <c r="JL14" i="3"/>
  <c r="LN13" i="3"/>
  <c r="JL13" i="3"/>
  <c r="JL8" i="3"/>
  <c r="LN8" i="3"/>
  <c r="JL11" i="3"/>
  <c r="LN11" i="3"/>
  <c r="LN9" i="3"/>
  <c r="JL9" i="3"/>
  <c r="LN7" i="3"/>
  <c r="JL7" i="3"/>
  <c r="AI21" i="3"/>
  <c r="N15" i="3"/>
  <c r="KO28" i="3"/>
  <c r="KU28" i="3"/>
  <c r="N19" i="3"/>
  <c r="N18" i="3"/>
  <c r="KY28" i="3"/>
  <c r="LA28" i="3"/>
  <c r="N20" i="3"/>
  <c r="JT10" i="3"/>
  <c r="JV10" i="3"/>
  <c r="KD10" i="3" s="1"/>
  <c r="LK10" i="3" s="1"/>
  <c r="LQ10" i="3" s="1"/>
  <c r="JT12" i="3"/>
  <c r="JV12" i="3"/>
  <c r="KD12" i="3" s="1"/>
  <c r="LK12" i="3" s="1"/>
  <c r="LQ12" i="3" s="1"/>
  <c r="LI28" i="1"/>
  <c r="LJ28" i="1"/>
  <c r="IG7" i="1"/>
  <c r="IK13" i="1"/>
  <c r="IK8" i="1"/>
  <c r="IM9" i="1"/>
  <c r="IM8" i="1"/>
  <c r="IM7" i="1"/>
  <c r="IM6" i="1"/>
  <c r="HG6" i="1"/>
  <c r="HF6" i="1"/>
  <c r="BZ4" i="10" l="1"/>
  <c r="BZ5" i="10"/>
  <c r="BZ6" i="10"/>
  <c r="BZ7" i="10"/>
  <c r="BZ8" i="10"/>
  <c r="L22" i="9"/>
  <c r="M22" i="9"/>
  <c r="Z14" i="9"/>
  <c r="Y14" i="9"/>
  <c r="X14" i="9"/>
  <c r="JV6" i="9"/>
  <c r="JT6" i="9"/>
  <c r="LC28" i="9"/>
  <c r="JL26" i="9"/>
  <c r="JT26" i="9" s="1"/>
  <c r="O14" i="9"/>
  <c r="R14" i="9" s="1"/>
  <c r="P14" i="9"/>
  <c r="Q14" i="9"/>
  <c r="MC14" i="9"/>
  <c r="N21" i="9"/>
  <c r="AH20" i="9"/>
  <c r="AL5" i="10"/>
  <c r="M21" i="9"/>
  <c r="L21" i="9"/>
  <c r="MD15" i="9"/>
  <c r="MF15" i="9"/>
  <c r="MG15" i="9" s="1"/>
  <c r="MN15" i="9"/>
  <c r="MO15" i="9" s="1"/>
  <c r="MP15" i="9" s="1"/>
  <c r="C5" i="10"/>
  <c r="AI21" i="9"/>
  <c r="AI20" i="9"/>
  <c r="MD19" i="9"/>
  <c r="MF19" i="9"/>
  <c r="MG19" i="9" s="1"/>
  <c r="MN19" i="9"/>
  <c r="MO19" i="9" s="1"/>
  <c r="MP19" i="9" s="1"/>
  <c r="C9" i="10"/>
  <c r="MD18" i="9"/>
  <c r="MF18" i="9"/>
  <c r="MG18" i="9" s="1"/>
  <c r="MN18" i="9"/>
  <c r="MO18" i="9" s="1"/>
  <c r="MP18" i="9" s="1"/>
  <c r="C8" i="10"/>
  <c r="MD20" i="9"/>
  <c r="MF20" i="9"/>
  <c r="MG20" i="9" s="1"/>
  <c r="MN20" i="9"/>
  <c r="MO20" i="9" s="1"/>
  <c r="MP20" i="9" s="1"/>
  <c r="C10" i="10"/>
  <c r="BG4" i="10"/>
  <c r="BO28" i="10" s="1"/>
  <c r="BG5" i="10"/>
  <c r="BQ28" i="10" s="1"/>
  <c r="JT12" i="9"/>
  <c r="JV12" i="9"/>
  <c r="KD12" i="9" s="1"/>
  <c r="LK12" i="9" s="1"/>
  <c r="LQ12" i="9" s="1"/>
  <c r="LN26" i="9"/>
  <c r="MN16" i="7"/>
  <c r="MO16" i="7" s="1"/>
  <c r="MP16" i="7" s="1"/>
  <c r="C6" i="8"/>
  <c r="MF16" i="7"/>
  <c r="MG16" i="7" s="1"/>
  <c r="MD16" i="7"/>
  <c r="MD17" i="7"/>
  <c r="C7" i="8"/>
  <c r="MF17" i="7"/>
  <c r="MG17" i="7" s="1"/>
  <c r="MN17" i="7"/>
  <c r="MO17" i="7" s="1"/>
  <c r="MP17" i="7" s="1"/>
  <c r="Z14" i="7"/>
  <c r="Y14" i="7"/>
  <c r="X14" i="7"/>
  <c r="LP26" i="7"/>
  <c r="LJ28" i="7"/>
  <c r="JV6" i="7"/>
  <c r="JT6" i="7"/>
  <c r="P14" i="7"/>
  <c r="MC14" i="7"/>
  <c r="N21" i="7"/>
  <c r="O14" i="7"/>
  <c r="R14" i="7" s="1"/>
  <c r="Q14" i="7"/>
  <c r="LC28" i="7"/>
  <c r="JL26" i="7"/>
  <c r="JT26" i="7" s="1"/>
  <c r="AL5" i="8"/>
  <c r="AH20" i="7"/>
  <c r="M21" i="7"/>
  <c r="L21" i="7"/>
  <c r="M22" i="7"/>
  <c r="L22" i="7"/>
  <c r="O18" i="7"/>
  <c r="R18" i="7" s="1"/>
  <c r="Q18" i="7"/>
  <c r="P18" i="7"/>
  <c r="MC18" i="7"/>
  <c r="O20" i="7"/>
  <c r="R20" i="7" s="1"/>
  <c r="Q20" i="7"/>
  <c r="MC20" i="7"/>
  <c r="P20" i="7"/>
  <c r="P15" i="7"/>
  <c r="MC15" i="7"/>
  <c r="O15" i="7"/>
  <c r="R15" i="7" s="1"/>
  <c r="Q15" i="7"/>
  <c r="JV21" i="7"/>
  <c r="KD21" i="7" s="1"/>
  <c r="LK21" i="7" s="1"/>
  <c r="LQ21" i="7" s="1"/>
  <c r="JT21" i="7"/>
  <c r="JV20" i="7"/>
  <c r="KD20" i="7" s="1"/>
  <c r="LK20" i="7" s="1"/>
  <c r="LQ20" i="7" s="1"/>
  <c r="JT20" i="7"/>
  <c r="JV24" i="7"/>
  <c r="KD24" i="7" s="1"/>
  <c r="LK24" i="7" s="1"/>
  <c r="LQ24" i="7" s="1"/>
  <c r="JT24" i="7"/>
  <c r="JV18" i="7"/>
  <c r="KD18" i="7" s="1"/>
  <c r="LK18" i="7" s="1"/>
  <c r="LQ18" i="7" s="1"/>
  <c r="JT18" i="7"/>
  <c r="JV17" i="7"/>
  <c r="KD17" i="7" s="1"/>
  <c r="LK17" i="7" s="1"/>
  <c r="LQ17" i="7" s="1"/>
  <c r="JT17" i="7"/>
  <c r="P19" i="7"/>
  <c r="MC19" i="7"/>
  <c r="Q19" i="7"/>
  <c r="O19" i="7"/>
  <c r="R19" i="7" s="1"/>
  <c r="LN26" i="7"/>
  <c r="JY27" i="6"/>
  <c r="JT27" i="6"/>
  <c r="JM27" i="6"/>
  <c r="JL27" i="6"/>
  <c r="JY24" i="6"/>
  <c r="JT24" i="6"/>
  <c r="JM24" i="6"/>
  <c r="JL24" i="6"/>
  <c r="JY23" i="6"/>
  <c r="JT23" i="6"/>
  <c r="JM23" i="6"/>
  <c r="JL23" i="6"/>
  <c r="AV28" i="6"/>
  <c r="BR28" i="6"/>
  <c r="BS28" i="6" s="1"/>
  <c r="BG6" i="6"/>
  <c r="BZ9" i="6"/>
  <c r="MC15" i="5"/>
  <c r="Q15" i="5"/>
  <c r="P15" i="5"/>
  <c r="O15" i="5"/>
  <c r="R15" i="5" s="1"/>
  <c r="JV7" i="5"/>
  <c r="KD7" i="5" s="1"/>
  <c r="LK7" i="5" s="1"/>
  <c r="LQ7" i="5" s="1"/>
  <c r="JT7" i="5"/>
  <c r="MC21" i="5"/>
  <c r="Q21" i="5"/>
  <c r="P21" i="5"/>
  <c r="O21" i="5"/>
  <c r="R21" i="5" s="1"/>
  <c r="C4" i="6"/>
  <c r="MN14" i="5"/>
  <c r="MO14" i="5" s="1"/>
  <c r="MP14" i="5" s="1"/>
  <c r="MF14" i="5"/>
  <c r="MD14" i="5"/>
  <c r="KD6" i="5"/>
  <c r="LK6" i="5" s="1"/>
  <c r="JV18" i="5"/>
  <c r="KD18" i="5" s="1"/>
  <c r="LK18" i="5" s="1"/>
  <c r="LQ18" i="5" s="1"/>
  <c r="JT18" i="5"/>
  <c r="O20" i="5"/>
  <c r="R20" i="5" s="1"/>
  <c r="P20" i="5"/>
  <c r="Q20" i="5"/>
  <c r="MC20" i="5"/>
  <c r="O18" i="5"/>
  <c r="R18" i="5" s="1"/>
  <c r="P18" i="5"/>
  <c r="Q18" i="5"/>
  <c r="MC18" i="5"/>
  <c r="O19" i="5"/>
  <c r="R19" i="5" s="1"/>
  <c r="P19" i="5"/>
  <c r="Q19" i="5"/>
  <c r="MC19" i="5"/>
  <c r="JT10" i="5"/>
  <c r="JV10" i="5"/>
  <c r="LN26" i="5"/>
  <c r="BZ7" i="4"/>
  <c r="BZ4" i="4"/>
  <c r="BZ5" i="4"/>
  <c r="BZ6" i="4"/>
  <c r="BZ8" i="4"/>
  <c r="X14" i="3"/>
  <c r="Y14" i="3"/>
  <c r="Z14" i="3"/>
  <c r="LJ28" i="3"/>
  <c r="LP26" i="3"/>
  <c r="JV6" i="3"/>
  <c r="JT6" i="3"/>
  <c r="LC28" i="3"/>
  <c r="JL26" i="3"/>
  <c r="JT26" i="3" s="1"/>
  <c r="P14" i="3"/>
  <c r="Q14" i="3"/>
  <c r="O14" i="3"/>
  <c r="R14" i="3" s="1"/>
  <c r="MC14" i="3"/>
  <c r="N21" i="3"/>
  <c r="AH20" i="3"/>
  <c r="AL5" i="4"/>
  <c r="L21" i="3"/>
  <c r="M21" i="3"/>
  <c r="L22" i="3"/>
  <c r="M22" i="3"/>
  <c r="BG4" i="4"/>
  <c r="BO28" i="4" s="1"/>
  <c r="BG5" i="4"/>
  <c r="BQ28" i="4" s="1"/>
  <c r="JV14" i="3"/>
  <c r="KD14" i="3" s="1"/>
  <c r="LK14" i="3" s="1"/>
  <c r="LQ14" i="3" s="1"/>
  <c r="JT14" i="3"/>
  <c r="JV13" i="3"/>
  <c r="KD13" i="3" s="1"/>
  <c r="LK13" i="3" s="1"/>
  <c r="LQ13" i="3" s="1"/>
  <c r="JT13" i="3"/>
  <c r="JV8" i="3"/>
  <c r="KD8" i="3" s="1"/>
  <c r="LK8" i="3" s="1"/>
  <c r="LQ8" i="3" s="1"/>
  <c r="JT8" i="3"/>
  <c r="JV11" i="3"/>
  <c r="KD11" i="3" s="1"/>
  <c r="LK11" i="3" s="1"/>
  <c r="LQ11" i="3" s="1"/>
  <c r="JT11" i="3"/>
  <c r="JV9" i="3"/>
  <c r="KD9" i="3" s="1"/>
  <c r="LK9" i="3" s="1"/>
  <c r="LQ9" i="3" s="1"/>
  <c r="JT9" i="3"/>
  <c r="JV7" i="3"/>
  <c r="KD7" i="3" s="1"/>
  <c r="LK7" i="3" s="1"/>
  <c r="LQ7" i="3" s="1"/>
  <c r="JT7" i="3"/>
  <c r="P15" i="3"/>
  <c r="MC15" i="3"/>
  <c r="O15" i="3"/>
  <c r="R15" i="3" s="1"/>
  <c r="Q15" i="3"/>
  <c r="P19" i="3"/>
  <c r="MC19" i="3"/>
  <c r="O19" i="3"/>
  <c r="R19" i="3" s="1"/>
  <c r="Q19" i="3"/>
  <c r="P18" i="3"/>
  <c r="O18" i="3"/>
  <c r="R18" i="3" s="1"/>
  <c r="Q18" i="3"/>
  <c r="MC18" i="3"/>
  <c r="O20" i="3"/>
  <c r="R20" i="3" s="1"/>
  <c r="P20" i="3"/>
  <c r="Q20" i="3"/>
  <c r="MC20" i="3"/>
  <c r="AJ19" i="1"/>
  <c r="HX26" i="1"/>
  <c r="FD7" i="1"/>
  <c r="CC4" i="10" l="1"/>
  <c r="CD4" i="10"/>
  <c r="CC5" i="10"/>
  <c r="CD5" i="10"/>
  <c r="CC6" i="10"/>
  <c r="CD6" i="10"/>
  <c r="CC7" i="10"/>
  <c r="CD7" i="10"/>
  <c r="CC8" i="10"/>
  <c r="CD8" i="10"/>
  <c r="Z15" i="9"/>
  <c r="Z16" i="9"/>
  <c r="Y15" i="9"/>
  <c r="Y16" i="9"/>
  <c r="AA14" i="9"/>
  <c r="X15" i="9"/>
  <c r="X16" i="9"/>
  <c r="JV26" i="9"/>
  <c r="KD6" i="9"/>
  <c r="LK6" i="9" s="1"/>
  <c r="MD14" i="9"/>
  <c r="MF14" i="9"/>
  <c r="MN14" i="9"/>
  <c r="MO14" i="9" s="1"/>
  <c r="MP14" i="9" s="1"/>
  <c r="C4" i="10"/>
  <c r="P21" i="9"/>
  <c r="MC21" i="9"/>
  <c r="O21" i="9"/>
  <c r="R21" i="9" s="1"/>
  <c r="Q21" i="9"/>
  <c r="AV4" i="10"/>
  <c r="AV19" i="10"/>
  <c r="AV7" i="10"/>
  <c r="AV12" i="10"/>
  <c r="AV13" i="10"/>
  <c r="AV16" i="10"/>
  <c r="AV22" i="10"/>
  <c r="AV25" i="10"/>
  <c r="AV10" i="10"/>
  <c r="AV11" i="10"/>
  <c r="AV27" i="10"/>
  <c r="AV6" i="10"/>
  <c r="AV14" i="10"/>
  <c r="AV23" i="10"/>
  <c r="AV5" i="10"/>
  <c r="AV9" i="10"/>
  <c r="AV15" i="10"/>
  <c r="AV8" i="10"/>
  <c r="AV17" i="10"/>
  <c r="AV18" i="10"/>
  <c r="AV20" i="10"/>
  <c r="AV21" i="10"/>
  <c r="AV24" i="10"/>
  <c r="AV26" i="10"/>
  <c r="DZ28" i="10"/>
  <c r="EI7" i="10"/>
  <c r="BQ4" i="10"/>
  <c r="BQ9" i="10"/>
  <c r="BQ11" i="10"/>
  <c r="BQ7" i="10"/>
  <c r="BQ25" i="10"/>
  <c r="BQ10" i="10"/>
  <c r="BQ6" i="10"/>
  <c r="BQ14" i="10"/>
  <c r="BQ15" i="10"/>
  <c r="BQ18" i="10"/>
  <c r="BQ5" i="10"/>
  <c r="BQ8" i="10"/>
  <c r="BQ12" i="10"/>
  <c r="BQ19" i="10"/>
  <c r="BQ20" i="10"/>
  <c r="BQ21" i="10"/>
  <c r="BQ16" i="10"/>
  <c r="BQ22" i="10"/>
  <c r="BQ23" i="10"/>
  <c r="BQ24" i="10"/>
  <c r="BQ13" i="10"/>
  <c r="BQ17" i="10"/>
  <c r="BQ26" i="10"/>
  <c r="BQ27" i="10"/>
  <c r="BG6" i="8"/>
  <c r="BR28" i="8"/>
  <c r="BS28" i="8" s="1"/>
  <c r="BZ9" i="8"/>
  <c r="Z15" i="7"/>
  <c r="Z16" i="7"/>
  <c r="Y15" i="7"/>
  <c r="Y16" i="7"/>
  <c r="X16" i="7"/>
  <c r="AA14" i="7"/>
  <c r="X15" i="7"/>
  <c r="JV26" i="7"/>
  <c r="KD6" i="7"/>
  <c r="LK6" i="7" s="1"/>
  <c r="MF14" i="7"/>
  <c r="MD14" i="7"/>
  <c r="C4" i="8"/>
  <c r="MN14" i="7"/>
  <c r="MO14" i="7" s="1"/>
  <c r="MP14" i="7" s="1"/>
  <c r="Q21" i="7"/>
  <c r="P21" i="7"/>
  <c r="O21" i="7"/>
  <c r="R21" i="7" s="1"/>
  <c r="MC21" i="7"/>
  <c r="AV4" i="8"/>
  <c r="AV6" i="8"/>
  <c r="AV11" i="8"/>
  <c r="AV13" i="8"/>
  <c r="AV18" i="8"/>
  <c r="AV19" i="8"/>
  <c r="AV25" i="8"/>
  <c r="AV27" i="8"/>
  <c r="AV15" i="8"/>
  <c r="AV23" i="8"/>
  <c r="AV14" i="8"/>
  <c r="AV16" i="8"/>
  <c r="AV21" i="8"/>
  <c r="AV22" i="8"/>
  <c r="AV24" i="8"/>
  <c r="AV5" i="8"/>
  <c r="AV20" i="8"/>
  <c r="AV7" i="8"/>
  <c r="AV8" i="8"/>
  <c r="AV9" i="8"/>
  <c r="AV10" i="8"/>
  <c r="AV17" i="8"/>
  <c r="AV26" i="8"/>
  <c r="AV12" i="8"/>
  <c r="MF18" i="7"/>
  <c r="MG18" i="7" s="1"/>
  <c r="C8" i="8"/>
  <c r="MN18" i="7"/>
  <c r="MO18" i="7" s="1"/>
  <c r="MP18" i="7" s="1"/>
  <c r="MD18" i="7"/>
  <c r="C10" i="8"/>
  <c r="MN20" i="7"/>
  <c r="MO20" i="7" s="1"/>
  <c r="MP20" i="7" s="1"/>
  <c r="MD20" i="7"/>
  <c r="MF20" i="7"/>
  <c r="MG20" i="7" s="1"/>
  <c r="C5" i="8"/>
  <c r="MF15" i="7"/>
  <c r="MG15" i="7" s="1"/>
  <c r="MN15" i="7"/>
  <c r="MO15" i="7" s="1"/>
  <c r="MP15" i="7" s="1"/>
  <c r="MD15" i="7"/>
  <c r="MN19" i="7"/>
  <c r="MO19" i="7" s="1"/>
  <c r="MP19" i="7" s="1"/>
  <c r="MD19" i="7"/>
  <c r="C9" i="8"/>
  <c r="MF19" i="7"/>
  <c r="MG19" i="7" s="1"/>
  <c r="BG5" i="6"/>
  <c r="BQ28" i="6" s="1"/>
  <c r="BG4" i="6"/>
  <c r="BO28" i="6" s="1"/>
  <c r="BZ8" i="6"/>
  <c r="BZ7" i="6"/>
  <c r="BZ6" i="6"/>
  <c r="BZ5" i="6"/>
  <c r="BZ4" i="6"/>
  <c r="C5" i="6"/>
  <c r="MN15" i="5"/>
  <c r="MO15" i="5" s="1"/>
  <c r="MP15" i="5" s="1"/>
  <c r="MF15" i="5"/>
  <c r="MG15" i="5" s="1"/>
  <c r="MD15" i="5"/>
  <c r="LW7" i="5"/>
  <c r="LW9" i="5" s="1"/>
  <c r="LW12" i="5" s="1"/>
  <c r="LW13" i="5" s="1"/>
  <c r="MC23" i="5" s="1"/>
  <c r="MC24" i="5" s="1"/>
  <c r="MN24" i="5" s="1"/>
  <c r="MO24" i="5" s="1"/>
  <c r="MP24" i="5" s="1"/>
  <c r="MN21" i="5"/>
  <c r="MO21" i="5" s="1"/>
  <c r="MP21" i="5" s="1"/>
  <c r="MD21" i="5"/>
  <c r="AL4" i="6"/>
  <c r="AL6" i="6" s="1"/>
  <c r="MG14" i="5"/>
  <c r="LK26" i="5"/>
  <c r="LQ6" i="5"/>
  <c r="C10" i="6"/>
  <c r="MN20" i="5"/>
  <c r="MO20" i="5" s="1"/>
  <c r="MP20" i="5" s="1"/>
  <c r="MF20" i="5"/>
  <c r="MG20" i="5" s="1"/>
  <c r="MD20" i="5"/>
  <c r="C8" i="6"/>
  <c r="MN18" i="5"/>
  <c r="MO18" i="5" s="1"/>
  <c r="MP18" i="5" s="1"/>
  <c r="MF18" i="5"/>
  <c r="MD18" i="5"/>
  <c r="C9" i="6"/>
  <c r="MN19" i="5"/>
  <c r="MO19" i="5" s="1"/>
  <c r="MP19" i="5" s="1"/>
  <c r="MF19" i="5"/>
  <c r="MG19" i="5" s="1"/>
  <c r="MD19" i="5"/>
  <c r="KD10" i="5"/>
  <c r="LK10" i="5" s="1"/>
  <c r="LQ10" i="5" s="1"/>
  <c r="JV26" i="5"/>
  <c r="CC7" i="4"/>
  <c r="CD7" i="4"/>
  <c r="CC4" i="4"/>
  <c r="CD4" i="4"/>
  <c r="CC5" i="4"/>
  <c r="CD5" i="4"/>
  <c r="CD6" i="4"/>
  <c r="CC6" i="4"/>
  <c r="CC8" i="4"/>
  <c r="CD8" i="4"/>
  <c r="AA14" i="3"/>
  <c r="X15" i="3"/>
  <c r="X16" i="3"/>
  <c r="Y15" i="3"/>
  <c r="Y16" i="3"/>
  <c r="Z16" i="3"/>
  <c r="Z15" i="3"/>
  <c r="JV26" i="3"/>
  <c r="KD6" i="3"/>
  <c r="LK6" i="3" s="1"/>
  <c r="MF14" i="3"/>
  <c r="MD14" i="3"/>
  <c r="MN14" i="3"/>
  <c r="MO14" i="3" s="1"/>
  <c r="MP14" i="3" s="1"/>
  <c r="C4" i="4"/>
  <c r="P21" i="3"/>
  <c r="Q21" i="3"/>
  <c r="O21" i="3"/>
  <c r="R21" i="3" s="1"/>
  <c r="MC21" i="3"/>
  <c r="AV4" i="4"/>
  <c r="AV6" i="4"/>
  <c r="AV7" i="4"/>
  <c r="AV23" i="4"/>
  <c r="AV26" i="4"/>
  <c r="AV27" i="4"/>
  <c r="AV5" i="4"/>
  <c r="AV8" i="4"/>
  <c r="AV9" i="4"/>
  <c r="AV11" i="4"/>
  <c r="AV12" i="4"/>
  <c r="AV13" i="4"/>
  <c r="AV15" i="4"/>
  <c r="AV16" i="4"/>
  <c r="AV17" i="4"/>
  <c r="AV18" i="4"/>
  <c r="AV19" i="4"/>
  <c r="AV24" i="4"/>
  <c r="AV20" i="4"/>
  <c r="AV21" i="4"/>
  <c r="AV22" i="4"/>
  <c r="AV25" i="4"/>
  <c r="AV10" i="4"/>
  <c r="AV14" i="4"/>
  <c r="BQ4" i="4"/>
  <c r="BQ21" i="4"/>
  <c r="BQ22" i="4"/>
  <c r="BQ25" i="4"/>
  <c r="BQ27" i="4"/>
  <c r="BQ5" i="4"/>
  <c r="BQ6" i="4"/>
  <c r="BQ8" i="4"/>
  <c r="BQ9" i="4"/>
  <c r="BQ11" i="4"/>
  <c r="BQ12" i="4"/>
  <c r="BQ13" i="4"/>
  <c r="BQ14" i="4"/>
  <c r="BQ15" i="4"/>
  <c r="BQ16" i="4"/>
  <c r="BQ17" i="4"/>
  <c r="BQ18" i="4"/>
  <c r="BQ19" i="4"/>
  <c r="BQ20" i="4"/>
  <c r="BQ23" i="4"/>
  <c r="BQ24" i="4"/>
  <c r="BQ7" i="4"/>
  <c r="BQ26" i="4"/>
  <c r="BQ10" i="4"/>
  <c r="MD15" i="3"/>
  <c r="MF15" i="3"/>
  <c r="MG15" i="3" s="1"/>
  <c r="C5" i="4"/>
  <c r="MN15" i="3"/>
  <c r="MO15" i="3" s="1"/>
  <c r="MP15" i="3" s="1"/>
  <c r="MF19" i="3"/>
  <c r="MG19" i="3" s="1"/>
  <c r="MN19" i="3"/>
  <c r="MO19" i="3" s="1"/>
  <c r="MP19" i="3" s="1"/>
  <c r="C9" i="4"/>
  <c r="MD19" i="3"/>
  <c r="MF18" i="3"/>
  <c r="MG18" i="3" s="1"/>
  <c r="C8" i="4"/>
  <c r="MD18" i="3"/>
  <c r="MN18" i="3"/>
  <c r="MO18" i="3" s="1"/>
  <c r="MP18" i="3" s="1"/>
  <c r="MD20" i="3"/>
  <c r="MF20" i="3"/>
  <c r="MG20" i="3" s="1"/>
  <c r="MN20" i="3"/>
  <c r="MO20" i="3" s="1"/>
  <c r="MP20" i="3" s="1"/>
  <c r="C10" i="4"/>
  <c r="JK28" i="2"/>
  <c r="HU28" i="2"/>
  <c r="HA31" i="2"/>
  <c r="GY35" i="2"/>
  <c r="GZ35" i="2" s="1"/>
  <c r="HA35" i="2" s="1"/>
  <c r="HB35" i="2" s="1"/>
  <c r="HC35" i="2" s="1"/>
  <c r="FZ34" i="2"/>
  <c r="GA34" i="2" s="1"/>
  <c r="GB34" i="2" s="1"/>
  <c r="FU34" i="2"/>
  <c r="FV34" i="2" s="1"/>
  <c r="FW34" i="2" s="1"/>
  <c r="FX34" i="2" s="1"/>
  <c r="GJ32" i="2"/>
  <c r="GK32" i="2" s="1"/>
  <c r="GL32" i="2" s="1"/>
  <c r="GM32" i="2" s="1"/>
  <c r="GN32" i="2" s="1"/>
  <c r="GO32" i="2" s="1"/>
  <c r="GP32" i="2" s="1"/>
  <c r="GQ32" i="2" s="1"/>
  <c r="AS31" i="2"/>
  <c r="AT31" i="2" s="1"/>
  <c r="AU31" i="2" s="1"/>
  <c r="AV31" i="2" s="1"/>
  <c r="AW31" i="2" s="1"/>
  <c r="AX31" i="2" s="1"/>
  <c r="AZ31" i="2" s="1"/>
  <c r="Y31" i="2"/>
  <c r="FL31" i="2" s="1"/>
  <c r="FM31" i="2" s="1"/>
  <c r="JG27" i="2"/>
  <c r="IW27" i="2"/>
  <c r="HQ27" i="2"/>
  <c r="GV27" i="2"/>
  <c r="GG27" i="2"/>
  <c r="DW27" i="2" s="1"/>
  <c r="FI27" i="2"/>
  <c r="EN27" i="2"/>
  <c r="DH27" i="2"/>
  <c r="CI27" i="2"/>
  <c r="BL27" i="2"/>
  <c r="AQ27" i="2"/>
  <c r="V27" i="2"/>
  <c r="J27" i="2"/>
  <c r="JG26" i="2"/>
  <c r="HQ26" i="2"/>
  <c r="GV26" i="2"/>
  <c r="GG26" i="2"/>
  <c r="DW26" i="2" s="1"/>
  <c r="FI26" i="2"/>
  <c r="EN26" i="2"/>
  <c r="DH26" i="2"/>
  <c r="CI26" i="2"/>
  <c r="BL26" i="2"/>
  <c r="AQ26" i="2"/>
  <c r="V26" i="2"/>
  <c r="J26" i="2"/>
  <c r="JG25" i="2"/>
  <c r="HQ25" i="2"/>
  <c r="GV25" i="2"/>
  <c r="GG25" i="2"/>
  <c r="DW25" i="2" s="1"/>
  <c r="FI25" i="2"/>
  <c r="EN25" i="2"/>
  <c r="DH25" i="2"/>
  <c r="CI25" i="2"/>
  <c r="BL25" i="2"/>
  <c r="AQ25" i="2"/>
  <c r="V25" i="2"/>
  <c r="J25" i="2"/>
  <c r="JG24" i="2"/>
  <c r="IW24" i="2"/>
  <c r="HQ24" i="2"/>
  <c r="GV24" i="2"/>
  <c r="GG24" i="2"/>
  <c r="DW24" i="2" s="1"/>
  <c r="FI24" i="2"/>
  <c r="EN24" i="2"/>
  <c r="DH24" i="2"/>
  <c r="CI24" i="2"/>
  <c r="BL24" i="2"/>
  <c r="AQ24" i="2"/>
  <c r="V24" i="2"/>
  <c r="J24" i="2"/>
  <c r="JG23" i="2"/>
  <c r="IW23" i="2"/>
  <c r="HQ23" i="2"/>
  <c r="GV23" i="2"/>
  <c r="GG23" i="2"/>
  <c r="DW23" i="2" s="1"/>
  <c r="FI23" i="2"/>
  <c r="EN23" i="2"/>
  <c r="DH23" i="2"/>
  <c r="CI23" i="2"/>
  <c r="BL23" i="2"/>
  <c r="AQ23" i="2"/>
  <c r="V23" i="2"/>
  <c r="J23" i="2"/>
  <c r="JG22" i="2"/>
  <c r="HQ22" i="2"/>
  <c r="GV22" i="2"/>
  <c r="GG22" i="2"/>
  <c r="FI22" i="2"/>
  <c r="EN22" i="2"/>
  <c r="DH22" i="2"/>
  <c r="CI22" i="2"/>
  <c r="BL22" i="2"/>
  <c r="AQ22" i="2"/>
  <c r="V22" i="2"/>
  <c r="J22" i="2"/>
  <c r="JG21" i="2"/>
  <c r="HQ21" i="2"/>
  <c r="GV21" i="2"/>
  <c r="GG21" i="2"/>
  <c r="FI21" i="2"/>
  <c r="EN21" i="2"/>
  <c r="DH21" i="2"/>
  <c r="CI21" i="2"/>
  <c r="BL21" i="2"/>
  <c r="AQ21" i="2"/>
  <c r="V21" i="2"/>
  <c r="J21" i="2"/>
  <c r="JG20" i="2"/>
  <c r="HQ20" i="2"/>
  <c r="GV20" i="2"/>
  <c r="GG20" i="2"/>
  <c r="DW20" i="2" s="1"/>
  <c r="FI20" i="2"/>
  <c r="EN20" i="2"/>
  <c r="DH20" i="2"/>
  <c r="CI20" i="2"/>
  <c r="BL20" i="2"/>
  <c r="AQ20" i="2"/>
  <c r="V20" i="2"/>
  <c r="O20" i="2"/>
  <c r="J20" i="2"/>
  <c r="JG19" i="2"/>
  <c r="HQ19" i="2"/>
  <c r="GV19" i="2"/>
  <c r="GG19" i="2"/>
  <c r="DW19" i="2" s="1"/>
  <c r="FI19" i="2"/>
  <c r="EN19" i="2"/>
  <c r="DH19" i="2"/>
  <c r="CI19" i="2"/>
  <c r="BL19" i="2"/>
  <c r="AQ19" i="2"/>
  <c r="AS19" i="2" s="1"/>
  <c r="V19" i="2"/>
  <c r="J19" i="2"/>
  <c r="JG18" i="2"/>
  <c r="HQ18" i="2"/>
  <c r="GV18" i="2"/>
  <c r="GG18" i="2"/>
  <c r="FI18" i="2"/>
  <c r="EN18" i="2"/>
  <c r="DH18" i="2"/>
  <c r="CI18" i="2"/>
  <c r="BL18" i="2"/>
  <c r="AQ18" i="2"/>
  <c r="AS18" i="2" s="1"/>
  <c r="V18" i="2"/>
  <c r="J18" i="2"/>
  <c r="JG17" i="2"/>
  <c r="IW17" i="2"/>
  <c r="HQ17" i="2"/>
  <c r="GV17" i="2"/>
  <c r="GG17" i="2"/>
  <c r="FI17" i="2"/>
  <c r="EN17" i="2"/>
  <c r="DH17" i="2"/>
  <c r="CI17" i="2"/>
  <c r="BL17" i="2"/>
  <c r="AQ17" i="2"/>
  <c r="AS17" i="2" s="1"/>
  <c r="V17" i="2"/>
  <c r="J17" i="2"/>
  <c r="JG16" i="2"/>
  <c r="HQ16" i="2"/>
  <c r="GV16" i="2"/>
  <c r="GG16" i="2"/>
  <c r="FI16" i="2"/>
  <c r="EN16" i="2"/>
  <c r="DW16" i="2"/>
  <c r="DH16" i="2"/>
  <c r="CI16" i="2"/>
  <c r="BL16" i="2"/>
  <c r="AQ16" i="2"/>
  <c r="AS16" i="2" s="1"/>
  <c r="V16" i="2"/>
  <c r="J16" i="2"/>
  <c r="JG15" i="2"/>
  <c r="IW15" i="2"/>
  <c r="HQ15" i="2"/>
  <c r="GV15" i="2"/>
  <c r="GG15" i="2"/>
  <c r="DW15" i="2" s="1"/>
  <c r="FI15" i="2"/>
  <c r="EN15" i="2"/>
  <c r="DH15" i="2"/>
  <c r="CI15" i="2"/>
  <c r="BL15" i="2"/>
  <c r="AQ15" i="2"/>
  <c r="AS15" i="2" s="1"/>
  <c r="V15" i="2"/>
  <c r="J15" i="2"/>
  <c r="JG14" i="2"/>
  <c r="HQ14" i="2"/>
  <c r="GV14" i="2"/>
  <c r="GG14" i="2"/>
  <c r="FI14" i="2"/>
  <c r="EN14" i="2"/>
  <c r="DH14" i="2"/>
  <c r="CI14" i="2"/>
  <c r="BL14" i="2"/>
  <c r="AQ14" i="2"/>
  <c r="AS14" i="2" s="1"/>
  <c r="V14" i="2"/>
  <c r="J14" i="2"/>
  <c r="JG13" i="2"/>
  <c r="HQ13" i="2"/>
  <c r="GV13" i="2"/>
  <c r="GG13" i="2"/>
  <c r="FQ13" i="2"/>
  <c r="FI13" i="2"/>
  <c r="EN13" i="2"/>
  <c r="DH13" i="2"/>
  <c r="CI13" i="2"/>
  <c r="BL13" i="2"/>
  <c r="AQ13" i="2"/>
  <c r="AS13" i="2" s="1"/>
  <c r="V13" i="2"/>
  <c r="J13" i="2"/>
  <c r="JG12" i="2"/>
  <c r="HQ12" i="2"/>
  <c r="GV12" i="2"/>
  <c r="GG12" i="2"/>
  <c r="FI12" i="2"/>
  <c r="EN12" i="2"/>
  <c r="DH12" i="2"/>
  <c r="CI12" i="2"/>
  <c r="BL12" i="2"/>
  <c r="AQ12" i="2"/>
  <c r="AS12" i="2" s="1"/>
  <c r="AU12" i="2" s="1"/>
  <c r="V12" i="2"/>
  <c r="J12" i="2"/>
  <c r="JG11" i="2"/>
  <c r="HQ11" i="2"/>
  <c r="GV11" i="2"/>
  <c r="GG11" i="2"/>
  <c r="FI11" i="2"/>
  <c r="EN11" i="2"/>
  <c r="DH11" i="2"/>
  <c r="CI11" i="2"/>
  <c r="BL11" i="2"/>
  <c r="AQ11" i="2"/>
  <c r="AS11" i="2" s="1"/>
  <c r="AU11" i="2" s="1"/>
  <c r="V11" i="2"/>
  <c r="J11" i="2"/>
  <c r="JG10" i="2"/>
  <c r="HQ10" i="2"/>
  <c r="GV10" i="2"/>
  <c r="GG10" i="2"/>
  <c r="DW10" i="2" s="1"/>
  <c r="FI10" i="2"/>
  <c r="EN10" i="2"/>
  <c r="DH10" i="2"/>
  <c r="CI10" i="2"/>
  <c r="BL10" i="2"/>
  <c r="AQ10" i="2"/>
  <c r="AS10" i="2" s="1"/>
  <c r="V10" i="2"/>
  <c r="J10" i="2"/>
  <c r="JG9" i="2"/>
  <c r="HQ9" i="2"/>
  <c r="GV9" i="2"/>
  <c r="GG9" i="2"/>
  <c r="FI9" i="2"/>
  <c r="EN9" i="2"/>
  <c r="DH9" i="2"/>
  <c r="CI9" i="2"/>
  <c r="BL9" i="2"/>
  <c r="AQ9" i="2"/>
  <c r="AS9" i="2" s="1"/>
  <c r="V9" i="2"/>
  <c r="J9" i="2"/>
  <c r="JG8" i="2"/>
  <c r="IW8" i="2"/>
  <c r="HQ8" i="2"/>
  <c r="GV8" i="2"/>
  <c r="GG8" i="2"/>
  <c r="DW8" i="2" s="1"/>
  <c r="FI8" i="2"/>
  <c r="EN8" i="2"/>
  <c r="DH8" i="2"/>
  <c r="CI8" i="2"/>
  <c r="BL8" i="2"/>
  <c r="AQ8" i="2"/>
  <c r="AS8" i="2" s="1"/>
  <c r="V8" i="2"/>
  <c r="J8" i="2"/>
  <c r="JG7" i="2"/>
  <c r="HQ7" i="2"/>
  <c r="GV7" i="2"/>
  <c r="GG7" i="2"/>
  <c r="DW7" i="2" s="1"/>
  <c r="FI7" i="2"/>
  <c r="EN7" i="2"/>
  <c r="DH7" i="2"/>
  <c r="CI7" i="2"/>
  <c r="BL7" i="2"/>
  <c r="AQ7" i="2"/>
  <c r="AS7" i="2" s="1"/>
  <c r="V7" i="2"/>
  <c r="J7" i="2"/>
  <c r="JG6" i="2"/>
  <c r="HQ6" i="2"/>
  <c r="GV6" i="2"/>
  <c r="GG6" i="2"/>
  <c r="FI6" i="2"/>
  <c r="EN6" i="2"/>
  <c r="DH6" i="2"/>
  <c r="CI6" i="2"/>
  <c r="BL6" i="2"/>
  <c r="BF6" i="2"/>
  <c r="AQ6" i="2"/>
  <c r="V6" i="2"/>
  <c r="J6" i="2"/>
  <c r="JG5" i="2"/>
  <c r="JF5" i="2"/>
  <c r="JF6" i="2" s="1"/>
  <c r="JF7" i="2" s="1"/>
  <c r="JF8" i="2" s="1"/>
  <c r="JF9" i="2" s="1"/>
  <c r="JF10" i="2" s="1"/>
  <c r="JF11" i="2" s="1"/>
  <c r="JF12" i="2" s="1"/>
  <c r="JF13" i="2" s="1"/>
  <c r="JF14" i="2" s="1"/>
  <c r="JF15" i="2" s="1"/>
  <c r="JF16" i="2" s="1"/>
  <c r="JF17" i="2" s="1"/>
  <c r="JF18" i="2" s="1"/>
  <c r="JF19" i="2" s="1"/>
  <c r="JF20" i="2" s="1"/>
  <c r="JF21" i="2" s="1"/>
  <c r="JF22" i="2" s="1"/>
  <c r="JF23" i="2" s="1"/>
  <c r="JF24" i="2" s="1"/>
  <c r="JF25" i="2" s="1"/>
  <c r="JF26" i="2" s="1"/>
  <c r="JF27" i="2" s="1"/>
  <c r="HQ5" i="2"/>
  <c r="HP5" i="2"/>
  <c r="HP6" i="2" s="1"/>
  <c r="HP7" i="2" s="1"/>
  <c r="HP8" i="2" s="1"/>
  <c r="HP9" i="2" s="1"/>
  <c r="HP10" i="2" s="1"/>
  <c r="HP11" i="2" s="1"/>
  <c r="HP12" i="2" s="1"/>
  <c r="HP13" i="2" s="1"/>
  <c r="HP14" i="2" s="1"/>
  <c r="HP15" i="2" s="1"/>
  <c r="HP16" i="2" s="1"/>
  <c r="HP17" i="2" s="1"/>
  <c r="HP18" i="2" s="1"/>
  <c r="HP19" i="2" s="1"/>
  <c r="HP20" i="2" s="1"/>
  <c r="HP21" i="2" s="1"/>
  <c r="HP22" i="2" s="1"/>
  <c r="HP23" i="2" s="1"/>
  <c r="HP24" i="2" s="1"/>
  <c r="HP25" i="2" s="1"/>
  <c r="HP26" i="2" s="1"/>
  <c r="HP27" i="2" s="1"/>
  <c r="GV5" i="2"/>
  <c r="GU5" i="2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G5" i="2"/>
  <c r="DW5" i="2" s="1"/>
  <c r="GF5" i="2"/>
  <c r="GF6" i="2" s="1"/>
  <c r="GF7" i="2" s="1"/>
  <c r="GF8" i="2" s="1"/>
  <c r="GF9" i="2" s="1"/>
  <c r="GF10" i="2" s="1"/>
  <c r="GF11" i="2" s="1"/>
  <c r="GF12" i="2" s="1"/>
  <c r="GF13" i="2" s="1"/>
  <c r="GF14" i="2" s="1"/>
  <c r="GF15" i="2" s="1"/>
  <c r="GF16" i="2" s="1"/>
  <c r="GF17" i="2" s="1"/>
  <c r="GF18" i="2" s="1"/>
  <c r="GF19" i="2" s="1"/>
  <c r="GF20" i="2" s="1"/>
  <c r="GF21" i="2" s="1"/>
  <c r="GF22" i="2" s="1"/>
  <c r="GF23" i="2" s="1"/>
  <c r="GF24" i="2" s="1"/>
  <c r="GF25" i="2" s="1"/>
  <c r="GF26" i="2" s="1"/>
  <c r="GF27" i="2" s="1"/>
  <c r="FQ5" i="2"/>
  <c r="FI5" i="2"/>
  <c r="FH5" i="2"/>
  <c r="FH6" i="2" s="1"/>
  <c r="FH7" i="2" s="1"/>
  <c r="FH8" i="2" s="1"/>
  <c r="FH9" i="2" s="1"/>
  <c r="FH10" i="2" s="1"/>
  <c r="FH11" i="2" s="1"/>
  <c r="FH12" i="2" s="1"/>
  <c r="FH13" i="2" s="1"/>
  <c r="FH14" i="2" s="1"/>
  <c r="FH15" i="2" s="1"/>
  <c r="FH16" i="2" s="1"/>
  <c r="FH17" i="2" s="1"/>
  <c r="FH18" i="2" s="1"/>
  <c r="FH19" i="2" s="1"/>
  <c r="FH20" i="2" s="1"/>
  <c r="FH21" i="2" s="1"/>
  <c r="FH22" i="2" s="1"/>
  <c r="FH23" i="2" s="1"/>
  <c r="FH24" i="2" s="1"/>
  <c r="FH25" i="2" s="1"/>
  <c r="FH26" i="2" s="1"/>
  <c r="FH27" i="2" s="1"/>
  <c r="FH28" i="2" s="1"/>
  <c r="EN5" i="2"/>
  <c r="EM5" i="2"/>
  <c r="EM6" i="2" s="1"/>
  <c r="EM7" i="2" s="1"/>
  <c r="EM8" i="2" s="1"/>
  <c r="EM9" i="2" s="1"/>
  <c r="EM10" i="2" s="1"/>
  <c r="EM11" i="2" s="1"/>
  <c r="EM12" i="2" s="1"/>
  <c r="EM13" i="2" s="1"/>
  <c r="EM14" i="2" s="1"/>
  <c r="EM15" i="2" s="1"/>
  <c r="EM16" i="2" s="1"/>
  <c r="EM17" i="2" s="1"/>
  <c r="EM18" i="2" s="1"/>
  <c r="EM19" i="2" s="1"/>
  <c r="EM20" i="2" s="1"/>
  <c r="EM21" i="2" s="1"/>
  <c r="EM22" i="2" s="1"/>
  <c r="EM23" i="2" s="1"/>
  <c r="EM24" i="2" s="1"/>
  <c r="EM25" i="2" s="1"/>
  <c r="EM26" i="2" s="1"/>
  <c r="EM27" i="2" s="1"/>
  <c r="EM28" i="2" s="1"/>
  <c r="DV5" i="2"/>
  <c r="DV6" i="2" s="1"/>
  <c r="DV7" i="2" s="1"/>
  <c r="DV8" i="2" s="1"/>
  <c r="DV9" i="2" s="1"/>
  <c r="DV10" i="2" s="1"/>
  <c r="DV11" i="2" s="1"/>
  <c r="DV12" i="2" s="1"/>
  <c r="DV13" i="2" s="1"/>
  <c r="DV14" i="2" s="1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H5" i="2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CU5" i="2"/>
  <c r="CI5" i="2"/>
  <c r="CH5" i="2"/>
  <c r="CH6" i="2" s="1"/>
  <c r="CH7" i="2" s="1"/>
  <c r="CH8" i="2" s="1"/>
  <c r="CH9" i="2" s="1"/>
  <c r="CH10" i="2" s="1"/>
  <c r="CH11" i="2" s="1"/>
  <c r="CH12" i="2" s="1"/>
  <c r="CH13" i="2" s="1"/>
  <c r="CH14" i="2" s="1"/>
  <c r="CH15" i="2" s="1"/>
  <c r="CH16" i="2" s="1"/>
  <c r="CH17" i="2" s="1"/>
  <c r="CH18" i="2" s="1"/>
  <c r="CH19" i="2" s="1"/>
  <c r="CH20" i="2" s="1"/>
  <c r="CH21" i="2" s="1"/>
  <c r="CH22" i="2" s="1"/>
  <c r="CH23" i="2" s="1"/>
  <c r="CH24" i="2" s="1"/>
  <c r="CH25" i="2" s="1"/>
  <c r="CH26" i="2" s="1"/>
  <c r="CH27" i="2" s="1"/>
  <c r="CH28" i="2" s="1"/>
  <c r="BW5" i="2"/>
  <c r="BW6" i="2" s="1"/>
  <c r="BW7" i="2" s="1"/>
  <c r="BW8" i="2" s="1"/>
  <c r="BL5" i="2"/>
  <c r="BK5" i="2"/>
  <c r="BK6" i="2" s="1"/>
  <c r="BK7" i="2" s="1"/>
  <c r="BK8" i="2" s="1"/>
  <c r="BK9" i="2" s="1"/>
  <c r="BK10" i="2" s="1"/>
  <c r="BK11" i="2" s="1"/>
  <c r="BK12" i="2" s="1"/>
  <c r="BK13" i="2" s="1"/>
  <c r="BK14" i="2" s="1"/>
  <c r="BK15" i="2" s="1"/>
  <c r="BK16" i="2" s="1"/>
  <c r="BK17" i="2" s="1"/>
  <c r="BK18" i="2" s="1"/>
  <c r="BK19" i="2" s="1"/>
  <c r="BK20" i="2" s="1"/>
  <c r="BK21" i="2" s="1"/>
  <c r="BK22" i="2" s="1"/>
  <c r="BK23" i="2" s="1"/>
  <c r="BK24" i="2" s="1"/>
  <c r="BK25" i="2" s="1"/>
  <c r="BK26" i="2" s="1"/>
  <c r="BK27" i="2" s="1"/>
  <c r="BK28" i="2" s="1"/>
  <c r="AQ5" i="2"/>
  <c r="AP5" i="2"/>
  <c r="AP6" i="2" s="1"/>
  <c r="AP7" i="2" s="1"/>
  <c r="AP8" i="2" s="1"/>
  <c r="AP9" i="2" s="1"/>
  <c r="AP10" i="2" s="1"/>
  <c r="AP11" i="2" s="1"/>
  <c r="AP12" i="2" s="1"/>
  <c r="AP13" i="2" s="1"/>
  <c r="AP14" i="2" s="1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J5" i="2"/>
  <c r="AJ6" i="2" s="1"/>
  <c r="AJ7" i="2" s="1"/>
  <c r="AC5" i="2"/>
  <c r="AC6" i="2" s="1"/>
  <c r="AC7" i="2" s="1"/>
  <c r="AC8" i="2" s="1"/>
  <c r="AC9" i="2" s="1"/>
  <c r="AC10" i="2" s="1"/>
  <c r="AC11" i="2" s="1"/>
  <c r="AC12" i="2" s="1"/>
  <c r="AC13" i="2" s="1"/>
  <c r="AC14" i="2" s="1"/>
  <c r="AC15" i="2" s="1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V5" i="2"/>
  <c r="U5" i="2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J5" i="2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JG4" i="2"/>
  <c r="HQ4" i="2"/>
  <c r="GV4" i="2"/>
  <c r="GG4" i="2"/>
  <c r="FI4" i="2"/>
  <c r="EN4" i="2"/>
  <c r="DH4" i="2"/>
  <c r="CI4" i="2"/>
  <c r="BY9" i="2"/>
  <c r="BL4" i="2"/>
  <c r="BE4" i="2"/>
  <c r="BN2" i="2" s="1"/>
  <c r="AQ4" i="2"/>
  <c r="V4" i="2"/>
  <c r="J4" i="2"/>
  <c r="JH2" i="2"/>
  <c r="HR2" i="2"/>
  <c r="FK2" i="2"/>
  <c r="DB2" i="2"/>
  <c r="DA2" i="2"/>
  <c r="CZ2" i="2"/>
  <c r="BP2" i="2"/>
  <c r="ML35" i="1"/>
  <c r="ML34" i="1"/>
  <c r="FN35" i="1"/>
  <c r="FM35" i="1"/>
  <c r="ML32" i="1"/>
  <c r="ML31" i="1"/>
  <c r="FP30" i="1"/>
  <c r="ME29" i="1"/>
  <c r="MP27" i="1"/>
  <c r="MO27" i="1"/>
  <c r="MF27" i="1"/>
  <c r="FP27" i="1"/>
  <c r="MN26" i="1"/>
  <c r="MO26" i="1" s="1"/>
  <c r="MP26" i="1" s="1"/>
  <c r="MF26" i="1"/>
  <c r="KB26" i="1"/>
  <c r="JS26" i="1"/>
  <c r="FO31" i="1"/>
  <c r="ML25" i="1"/>
  <c r="JY25" i="1"/>
  <c r="JS25" i="1"/>
  <c r="KA25" i="1"/>
  <c r="JW25" i="1"/>
  <c r="JH25" i="1"/>
  <c r="HG25" i="1"/>
  <c r="ML24" i="1"/>
  <c r="JY24" i="1"/>
  <c r="JW24" i="1"/>
  <c r="JH24" i="1"/>
  <c r="KA24" i="1"/>
  <c r="HG24" i="1"/>
  <c r="IG24" i="1" s="1"/>
  <c r="ML23" i="1"/>
  <c r="JW23" i="1"/>
  <c r="KA23" i="1"/>
  <c r="JY23" i="1"/>
  <c r="HG23" i="1"/>
  <c r="HF23" i="1"/>
  <c r="IF23" i="1" s="1"/>
  <c r="IM23" i="1" s="1"/>
  <c r="FN24" i="1"/>
  <c r="JF22" i="1"/>
  <c r="JG22" i="1" s="1"/>
  <c r="JJ22" i="1" s="1"/>
  <c r="KJ23" i="1" s="1"/>
  <c r="KA22" i="1"/>
  <c r="JY22" i="1"/>
  <c r="HY22" i="1"/>
  <c r="LI22" i="1" s="1"/>
  <c r="JW22" i="1"/>
  <c r="HF22" i="1"/>
  <c r="IF22" i="1" s="1"/>
  <c r="ML21" i="1"/>
  <c r="JW21" i="1"/>
  <c r="JS21" i="1"/>
  <c r="HY21" i="1"/>
  <c r="LI21" i="1" s="1"/>
  <c r="KA21" i="1"/>
  <c r="JY21" i="1"/>
  <c r="JH21" i="1"/>
  <c r="HF21" i="1"/>
  <c r="IF21" i="1" s="1"/>
  <c r="IM21" i="1" s="1"/>
  <c r="ML20" i="1"/>
  <c r="KA20" i="1"/>
  <c r="JY20" i="1"/>
  <c r="JW20" i="1"/>
  <c r="HY20" i="1"/>
  <c r="LI20" i="1" s="1"/>
  <c r="JH20" i="1"/>
  <c r="JF20" i="1"/>
  <c r="JG20" i="1" s="1"/>
  <c r="JJ20" i="1" s="1"/>
  <c r="KJ21" i="1" s="1"/>
  <c r="CE20" i="1"/>
  <c r="CB20" i="1"/>
  <c r="BY20" i="1"/>
  <c r="BV20" i="1"/>
  <c r="BR20" i="1"/>
  <c r="BN20" i="1"/>
  <c r="BJ20" i="1"/>
  <c r="BF20" i="1"/>
  <c r="BB20" i="1"/>
  <c r="AX20" i="1"/>
  <c r="H20" i="1"/>
  <c r="ML19" i="1"/>
  <c r="IX19" i="1"/>
  <c r="LL19" i="1" s="1"/>
  <c r="KA19" i="1"/>
  <c r="JY19" i="1"/>
  <c r="JW19" i="1"/>
  <c r="FP19" i="1"/>
  <c r="CE19" i="1"/>
  <c r="CB19" i="1"/>
  <c r="BY19" i="1"/>
  <c r="BV19" i="1"/>
  <c r="BR19" i="1"/>
  <c r="BN19" i="1"/>
  <c r="BJ19" i="1"/>
  <c r="BF19" i="1"/>
  <c r="BB19" i="1"/>
  <c r="AX19" i="1"/>
  <c r="ML18" i="1"/>
  <c r="JW18" i="1"/>
  <c r="JS18" i="1"/>
  <c r="KA18" i="1"/>
  <c r="JY18" i="1"/>
  <c r="CE18" i="1"/>
  <c r="CB18" i="1"/>
  <c r="BY18" i="1"/>
  <c r="BV18" i="1"/>
  <c r="BR18" i="1"/>
  <c r="BN18" i="1"/>
  <c r="BJ18" i="1"/>
  <c r="BF18" i="1"/>
  <c r="BB18" i="1"/>
  <c r="AX18" i="1"/>
  <c r="ML17" i="1"/>
  <c r="KA17" i="1"/>
  <c r="JY17" i="1"/>
  <c r="HY17" i="1"/>
  <c r="LI17" i="1" s="1"/>
  <c r="JW17" i="1"/>
  <c r="CE17" i="1"/>
  <c r="CB17" i="1"/>
  <c r="BY17" i="1"/>
  <c r="BV17" i="1"/>
  <c r="BR17" i="1"/>
  <c r="BN17" i="1"/>
  <c r="BJ17" i="1"/>
  <c r="BF17" i="1"/>
  <c r="BB17" i="1"/>
  <c r="AX17" i="1"/>
  <c r="ML16" i="1"/>
  <c r="KA16" i="1"/>
  <c r="JY16" i="1"/>
  <c r="JW16" i="1"/>
  <c r="HY16" i="1"/>
  <c r="LI16" i="1" s="1"/>
  <c r="HF16" i="1"/>
  <c r="IF16" i="1" s="1"/>
  <c r="IM16" i="1" s="1"/>
  <c r="JH16" i="1"/>
  <c r="JF16" i="1"/>
  <c r="JG16" i="1" s="1"/>
  <c r="JJ16" i="1" s="1"/>
  <c r="KJ17" i="1" s="1"/>
  <c r="CE16" i="1"/>
  <c r="CB16" i="1"/>
  <c r="BY16" i="1"/>
  <c r="BV16" i="1"/>
  <c r="BR16" i="1"/>
  <c r="BN16" i="1"/>
  <c r="BJ16" i="1"/>
  <c r="BF16" i="1"/>
  <c r="BB16" i="1"/>
  <c r="AX16" i="1"/>
  <c r="AN16" i="1"/>
  <c r="AN17" i="1" s="1"/>
  <c r="AN18" i="1" s="1"/>
  <c r="AN19" i="1" s="1"/>
  <c r="AN20" i="1" s="1"/>
  <c r="ML15" i="1"/>
  <c r="JH15" i="1"/>
  <c r="KA15" i="1"/>
  <c r="JY15" i="1"/>
  <c r="JW15" i="1"/>
  <c r="HG15" i="1"/>
  <c r="CE15" i="1"/>
  <c r="CB15" i="1"/>
  <c r="BY15" i="1"/>
  <c r="BV15" i="1"/>
  <c r="BR15" i="1"/>
  <c r="BN15" i="1"/>
  <c r="BJ15" i="1"/>
  <c r="BF15" i="1"/>
  <c r="BB15" i="1"/>
  <c r="AX15" i="1"/>
  <c r="ML14" i="1"/>
  <c r="IX14" i="1"/>
  <c r="LL14" i="1" s="1"/>
  <c r="KA14" i="1"/>
  <c r="JY14" i="1"/>
  <c r="JW14" i="1"/>
  <c r="HF14" i="1"/>
  <c r="IF14" i="1" s="1"/>
  <c r="IM14" i="1" s="1"/>
  <c r="JF14" i="1"/>
  <c r="JG14" i="1" s="1"/>
  <c r="JJ14" i="1" s="1"/>
  <c r="KJ15" i="1" s="1"/>
  <c r="FP14" i="1"/>
  <c r="CE14" i="1"/>
  <c r="CB14" i="1"/>
  <c r="BY14" i="1"/>
  <c r="BV14" i="1"/>
  <c r="BR14" i="1"/>
  <c r="BN14" i="1"/>
  <c r="BJ14" i="1"/>
  <c r="BF14" i="1"/>
  <c r="BB14" i="1"/>
  <c r="AX14" i="1"/>
  <c r="ML13" i="1"/>
  <c r="IX13" i="1"/>
  <c r="LL13" i="1" s="1"/>
  <c r="KA13" i="1"/>
  <c r="JY13" i="1"/>
  <c r="JW13" i="1"/>
  <c r="HF13" i="1"/>
  <c r="IF13" i="1" s="1"/>
  <c r="JF13" i="1"/>
  <c r="JG13" i="1" s="1"/>
  <c r="JJ13" i="1" s="1"/>
  <c r="KJ14" i="1" s="1"/>
  <c r="CE13" i="1"/>
  <c r="CB13" i="1"/>
  <c r="BY13" i="1"/>
  <c r="BV13" i="1"/>
  <c r="BR13" i="1"/>
  <c r="BN13" i="1"/>
  <c r="BJ13" i="1"/>
  <c r="BF13" i="1"/>
  <c r="BB13" i="1"/>
  <c r="AX13" i="1"/>
  <c r="ML12" i="1"/>
  <c r="JS12" i="1"/>
  <c r="KA12" i="1"/>
  <c r="JY12" i="1"/>
  <c r="JW12" i="1"/>
  <c r="HY12" i="1"/>
  <c r="LI12" i="1" s="1"/>
  <c r="JH12" i="1"/>
  <c r="HF12" i="1"/>
  <c r="IF12" i="1" s="1"/>
  <c r="FP12" i="1"/>
  <c r="ML11" i="1"/>
  <c r="MC11" i="1"/>
  <c r="JW11" i="1"/>
  <c r="KA11" i="1"/>
  <c r="JY11" i="1"/>
  <c r="HY11" i="1"/>
  <c r="LI11" i="1" s="1"/>
  <c r="HG11" i="1"/>
  <c r="FP11" i="1"/>
  <c r="CE11" i="1"/>
  <c r="CB11" i="1"/>
  <c r="BY11" i="1"/>
  <c r="BV11" i="1"/>
  <c r="BR11" i="1"/>
  <c r="BN11" i="1"/>
  <c r="BJ11" i="1"/>
  <c r="BF11" i="1"/>
  <c r="BB11" i="1"/>
  <c r="AX11" i="1"/>
  <c r="J11" i="1"/>
  <c r="ML10" i="1"/>
  <c r="JH10" i="1"/>
  <c r="KA10" i="1"/>
  <c r="JY10" i="1"/>
  <c r="JW10" i="1"/>
  <c r="HF10" i="1"/>
  <c r="IF10" i="1" s="1"/>
  <c r="FP10" i="1"/>
  <c r="DZ12" i="1"/>
  <c r="CE10" i="1"/>
  <c r="CB10" i="1"/>
  <c r="BY10" i="1"/>
  <c r="BV10" i="1"/>
  <c r="BR10" i="1"/>
  <c r="BN10" i="1"/>
  <c r="BJ10" i="1"/>
  <c r="BF10" i="1"/>
  <c r="BB10" i="1"/>
  <c r="AX10" i="1"/>
  <c r="ML9" i="1"/>
  <c r="KA9" i="1"/>
  <c r="JY9" i="1"/>
  <c r="JW9" i="1"/>
  <c r="HF9" i="1"/>
  <c r="IF9" i="1" s="1"/>
  <c r="HG9" i="1"/>
  <c r="GH9" i="1"/>
  <c r="GD9" i="1"/>
  <c r="FP9" i="1"/>
  <c r="CE9" i="1"/>
  <c r="CB9" i="1"/>
  <c r="BY9" i="1"/>
  <c r="BV9" i="1"/>
  <c r="BR9" i="1"/>
  <c r="BN9" i="1"/>
  <c r="BJ9" i="1"/>
  <c r="BF9" i="1"/>
  <c r="BB9" i="1"/>
  <c r="AX9" i="1"/>
  <c r="ML8" i="1"/>
  <c r="MK8" i="1"/>
  <c r="MK9" i="1" s="1"/>
  <c r="MK10" i="1" s="1"/>
  <c r="MK11" i="1" s="1"/>
  <c r="MK12" i="1" s="1"/>
  <c r="MK13" i="1" s="1"/>
  <c r="MK14" i="1" s="1"/>
  <c r="MK15" i="1" s="1"/>
  <c r="MK16" i="1" s="1"/>
  <c r="MK17" i="1" s="1"/>
  <c r="MK18" i="1" s="1"/>
  <c r="MK19" i="1" s="1"/>
  <c r="MK20" i="1" s="1"/>
  <c r="MK21" i="1" s="1"/>
  <c r="MK22" i="1" s="1"/>
  <c r="MK23" i="1" s="1"/>
  <c r="MK24" i="1" s="1"/>
  <c r="MK25" i="1" s="1"/>
  <c r="MK26" i="1" s="1"/>
  <c r="MK27" i="1" s="1"/>
  <c r="MK28" i="1" s="1"/>
  <c r="MK29" i="1" s="1"/>
  <c r="MK30" i="1" s="1"/>
  <c r="MK31" i="1" s="1"/>
  <c r="MK32" i="1" s="1"/>
  <c r="MK34" i="1" s="1"/>
  <c r="MK35" i="1" s="1"/>
  <c r="MA8" i="1"/>
  <c r="MA9" i="1" s="1"/>
  <c r="MA10" i="1" s="1"/>
  <c r="MA11" i="1" s="1"/>
  <c r="MA12" i="1" s="1"/>
  <c r="MA13" i="1" s="1"/>
  <c r="MA14" i="1" s="1"/>
  <c r="MA15" i="1" s="1"/>
  <c r="MA16" i="1" s="1"/>
  <c r="MA17" i="1" s="1"/>
  <c r="MA18" i="1" s="1"/>
  <c r="MA19" i="1" s="1"/>
  <c r="MA20" i="1" s="1"/>
  <c r="MA21" i="1" s="1"/>
  <c r="MA22" i="1" s="1"/>
  <c r="MA23" i="1" s="1"/>
  <c r="MA24" i="1" s="1"/>
  <c r="MA25" i="1" s="1"/>
  <c r="MA26" i="1" s="1"/>
  <c r="MA27" i="1" s="1"/>
  <c r="MA28" i="1" s="1"/>
  <c r="MA29" i="1" s="1"/>
  <c r="MA30" i="1" s="1"/>
  <c r="MA31" i="1" s="1"/>
  <c r="MA32" i="1" s="1"/>
  <c r="MA34" i="1" s="1"/>
  <c r="MA35" i="1" s="1"/>
  <c r="JW8" i="1"/>
  <c r="KA8" i="1"/>
  <c r="JY8" i="1"/>
  <c r="HF8" i="1"/>
  <c r="IF8" i="1" s="1"/>
  <c r="GD8" i="1"/>
  <c r="FP8" i="1"/>
  <c r="FJ8" i="1"/>
  <c r="FJ9" i="1" s="1"/>
  <c r="FJ10" i="1" s="1"/>
  <c r="FJ11" i="1" s="1"/>
  <c r="FJ12" i="1" s="1"/>
  <c r="FJ13" i="1" s="1"/>
  <c r="FJ14" i="1" s="1"/>
  <c r="FJ15" i="1" s="1"/>
  <c r="FJ16" i="1" s="1"/>
  <c r="FJ17" i="1" s="1"/>
  <c r="FJ18" i="1" s="1"/>
  <c r="FJ19" i="1" s="1"/>
  <c r="FJ20" i="1" s="1"/>
  <c r="FJ21" i="1" s="1"/>
  <c r="FJ22" i="1" s="1"/>
  <c r="FJ23" i="1" s="1"/>
  <c r="FJ24" i="1" s="1"/>
  <c r="FJ25" i="1" s="1"/>
  <c r="FJ26" i="1" s="1"/>
  <c r="FJ27" i="1" s="1"/>
  <c r="FJ28" i="1" s="1"/>
  <c r="FJ29" i="1" s="1"/>
  <c r="FJ30" i="1" s="1"/>
  <c r="FJ31" i="1" s="1"/>
  <c r="FJ32" i="1" s="1"/>
  <c r="FJ33" i="1" s="1"/>
  <c r="FJ34" i="1" s="1"/>
  <c r="FJ35" i="1" s="1"/>
  <c r="FJ36" i="1" s="1"/>
  <c r="EY8" i="1"/>
  <c r="EP8" i="1"/>
  <c r="CW8" i="1"/>
  <c r="CS8" i="1"/>
  <c r="CE8" i="1"/>
  <c r="CB8" i="1"/>
  <c r="BY8" i="1"/>
  <c r="BV8" i="1"/>
  <c r="BR8" i="1"/>
  <c r="BN8" i="1"/>
  <c r="BJ8" i="1"/>
  <c r="BF8" i="1"/>
  <c r="BB8" i="1"/>
  <c r="AX8" i="1"/>
  <c r="AF8" i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ML7" i="1"/>
  <c r="LU7" i="1"/>
  <c r="LU8" i="1" s="1"/>
  <c r="LU9" i="1" s="1"/>
  <c r="LU10" i="1" s="1"/>
  <c r="LU11" i="1" s="1"/>
  <c r="LU12" i="1" s="1"/>
  <c r="LU13" i="1" s="1"/>
  <c r="KH7" i="1"/>
  <c r="KH8" i="1" s="1"/>
  <c r="KH9" i="1" s="1"/>
  <c r="KH10" i="1" s="1"/>
  <c r="KH11" i="1" s="1"/>
  <c r="KH12" i="1" s="1"/>
  <c r="KH13" i="1" s="1"/>
  <c r="KH14" i="1" s="1"/>
  <c r="KH15" i="1" s="1"/>
  <c r="KH16" i="1" s="1"/>
  <c r="KH17" i="1" s="1"/>
  <c r="KH18" i="1" s="1"/>
  <c r="KH19" i="1" s="1"/>
  <c r="KH20" i="1" s="1"/>
  <c r="KH21" i="1" s="1"/>
  <c r="KH22" i="1" s="1"/>
  <c r="KH23" i="1" s="1"/>
  <c r="KH24" i="1" s="1"/>
  <c r="KH25" i="1" s="1"/>
  <c r="KH26" i="1" s="1"/>
  <c r="KH27" i="1" s="1"/>
  <c r="KH28" i="1" s="1"/>
  <c r="JW7" i="1"/>
  <c r="KA7" i="1"/>
  <c r="JY7" i="1"/>
  <c r="HG7" i="1"/>
  <c r="HF7" i="1"/>
  <c r="IF7" i="1" s="1"/>
  <c r="GD7" i="1"/>
  <c r="FO20" i="1"/>
  <c r="FC7" i="1"/>
  <c r="EP7" i="1"/>
  <c r="EL7" i="1"/>
  <c r="CW7" i="1"/>
  <c r="CS7" i="1"/>
  <c r="CP9" i="1"/>
  <c r="CE7" i="1"/>
  <c r="CB7" i="1"/>
  <c r="BY7" i="1"/>
  <c r="BV7" i="1"/>
  <c r="BR7" i="1"/>
  <c r="BN7" i="1"/>
  <c r="BJ7" i="1"/>
  <c r="BF7" i="1"/>
  <c r="BB7" i="1"/>
  <c r="AX7" i="1"/>
  <c r="V7" i="1"/>
  <c r="V8" i="1" s="1"/>
  <c r="V10" i="1" s="1"/>
  <c r="V11" i="1" s="1"/>
  <c r="V12" i="1" s="1"/>
  <c r="V14" i="1" s="1"/>
  <c r="V15" i="1" s="1"/>
  <c r="V16" i="1" s="1"/>
  <c r="V18" i="1" s="1"/>
  <c r="V19" i="1" s="1"/>
  <c r="V20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4" i="1" s="1"/>
  <c r="B25" i="1" s="1"/>
  <c r="JY6" i="1"/>
  <c r="JH6" i="1"/>
  <c r="IG6" i="1"/>
  <c r="GQ6" i="1"/>
  <c r="GG12" i="1"/>
  <c r="GC12" i="1"/>
  <c r="GB12" i="1"/>
  <c r="FB9" i="1"/>
  <c r="FA9" i="1"/>
  <c r="EP6" i="1"/>
  <c r="EK9" i="1"/>
  <c r="EJ9" i="1"/>
  <c r="DY6" i="1"/>
  <c r="DP9" i="1"/>
  <c r="DO9" i="1"/>
  <c r="DN9" i="1"/>
  <c r="DM9" i="1"/>
  <c r="DG9" i="1"/>
  <c r="DF9" i="1"/>
  <c r="DE9" i="1"/>
  <c r="DD9" i="1"/>
  <c r="DC9" i="1"/>
  <c r="CT9" i="1"/>
  <c r="CQ9" i="1"/>
  <c r="JR5" i="1"/>
  <c r="KO4" i="1"/>
  <c r="KQ4" i="1" s="1"/>
  <c r="JY4" i="1"/>
  <c r="JT4" i="1"/>
  <c r="JS4" i="1"/>
  <c r="IH4" i="1"/>
  <c r="IJ4" i="1" s="1"/>
  <c r="HP4" i="1"/>
  <c r="FS4" i="1"/>
  <c r="FQ4" i="1"/>
  <c r="AJ4" i="1"/>
  <c r="AI4" i="1"/>
  <c r="AH4" i="1"/>
  <c r="CT3" i="1"/>
  <c r="DE3" i="1" s="1"/>
  <c r="CP3" i="1"/>
  <c r="DC3" i="1" s="1"/>
  <c r="DM3" i="1" s="1"/>
  <c r="AA15" i="9" l="1"/>
  <c r="AA16" i="9"/>
  <c r="KD26" i="9"/>
  <c r="KD27" i="9" s="1"/>
  <c r="JV27" i="9"/>
  <c r="MC31" i="9"/>
  <c r="N10" i="9"/>
  <c r="LQ6" i="9"/>
  <c r="LK26" i="9"/>
  <c r="LQ26" i="9" s="1"/>
  <c r="MG14" i="9"/>
  <c r="MF21" i="9"/>
  <c r="AL4" i="10"/>
  <c r="AL6" i="10" s="1"/>
  <c r="MN21" i="9"/>
  <c r="MO21" i="9" s="1"/>
  <c r="MP21" i="9" s="1"/>
  <c r="MD21" i="9"/>
  <c r="LW7" i="9"/>
  <c r="LW9" i="9" s="1"/>
  <c r="LW12" i="9" s="1"/>
  <c r="LW13" i="9" s="1"/>
  <c r="MC23" i="9" s="1"/>
  <c r="MC24" i="9" s="1"/>
  <c r="MN24" i="9" s="1"/>
  <c r="MO24" i="9" s="1"/>
  <c r="MP24" i="9" s="1"/>
  <c r="AV28" i="10"/>
  <c r="DZ11" i="10"/>
  <c r="DZ10" i="10"/>
  <c r="DZ9" i="10"/>
  <c r="DZ6" i="10"/>
  <c r="DZ15" i="10"/>
  <c r="DZ12" i="10"/>
  <c r="DZ24" i="10"/>
  <c r="FX24" i="10" s="1"/>
  <c r="DZ18" i="10"/>
  <c r="DZ26" i="10"/>
  <c r="DZ21" i="10"/>
  <c r="DZ16" i="10"/>
  <c r="DZ5" i="10"/>
  <c r="DZ17" i="10"/>
  <c r="DZ13" i="10"/>
  <c r="DZ20" i="10"/>
  <c r="DZ19" i="10"/>
  <c r="DZ4" i="10"/>
  <c r="DZ25" i="10"/>
  <c r="DZ23" i="10"/>
  <c r="FX23" i="10" s="1"/>
  <c r="DZ22" i="10"/>
  <c r="DZ27" i="10"/>
  <c r="FX27" i="10" s="1"/>
  <c r="DZ14" i="10"/>
  <c r="DZ7" i="10"/>
  <c r="DZ8" i="10"/>
  <c r="FX8" i="10" s="1"/>
  <c r="EA28" i="10"/>
  <c r="EI5" i="10"/>
  <c r="ES28" i="10" s="1"/>
  <c r="EI4" i="10"/>
  <c r="EQ28" i="10" s="1"/>
  <c r="EI6" i="10"/>
  <c r="EU28" i="10" s="1"/>
  <c r="CC9" i="10"/>
  <c r="CL28" i="10" s="1"/>
  <c r="CD9" i="10"/>
  <c r="CN28" i="10" s="1"/>
  <c r="BG4" i="8"/>
  <c r="BO28" i="8" s="1"/>
  <c r="BG5" i="8"/>
  <c r="BQ28" i="8" s="1"/>
  <c r="BZ4" i="8"/>
  <c r="BZ5" i="8"/>
  <c r="BZ6" i="8"/>
  <c r="BZ7" i="8"/>
  <c r="BZ8" i="8"/>
  <c r="AA16" i="7"/>
  <c r="AA15" i="7"/>
  <c r="KD26" i="7"/>
  <c r="KD27" i="7" s="1"/>
  <c r="JV27" i="7"/>
  <c r="MC31" i="7"/>
  <c r="N10" i="7"/>
  <c r="LQ6" i="7"/>
  <c r="LK26" i="7"/>
  <c r="MF21" i="7"/>
  <c r="MG14" i="7"/>
  <c r="AL4" i="8"/>
  <c r="AL6" i="8" s="1"/>
  <c r="LW7" i="7"/>
  <c r="LW9" i="7" s="1"/>
  <c r="LW12" i="7" s="1"/>
  <c r="LW13" i="7" s="1"/>
  <c r="MC23" i="7" s="1"/>
  <c r="MN21" i="7"/>
  <c r="MO21" i="7" s="1"/>
  <c r="MP21" i="7" s="1"/>
  <c r="MD21" i="7"/>
  <c r="AV28" i="8"/>
  <c r="EI7" i="8"/>
  <c r="DZ28" i="8"/>
  <c r="BQ4" i="6"/>
  <c r="BQ8" i="6"/>
  <c r="BQ24" i="6"/>
  <c r="BQ21" i="6"/>
  <c r="BQ16" i="6"/>
  <c r="BQ15" i="6"/>
  <c r="BQ10" i="6"/>
  <c r="BQ7" i="6"/>
  <c r="BQ27" i="6"/>
  <c r="BQ19" i="6"/>
  <c r="BQ25" i="6"/>
  <c r="BQ13" i="6"/>
  <c r="BQ14" i="6"/>
  <c r="BQ18" i="6"/>
  <c r="BQ17" i="6"/>
  <c r="BQ9" i="6"/>
  <c r="BQ12" i="6"/>
  <c r="BQ20" i="6"/>
  <c r="BQ11" i="6"/>
  <c r="BQ26" i="6"/>
  <c r="BQ23" i="6"/>
  <c r="BQ22" i="6"/>
  <c r="BQ6" i="6"/>
  <c r="BQ5" i="6"/>
  <c r="CD8" i="6"/>
  <c r="CC8" i="6"/>
  <c r="CD7" i="6"/>
  <c r="CC7" i="6"/>
  <c r="CD6" i="6"/>
  <c r="CC6" i="6"/>
  <c r="CD5" i="6"/>
  <c r="CC5" i="6"/>
  <c r="CD4" i="6"/>
  <c r="CD9" i="6" s="1"/>
  <c r="CN28" i="6" s="1"/>
  <c r="CC4" i="6"/>
  <c r="CC9" i="6" s="1"/>
  <c r="CL28" i="6" s="1"/>
  <c r="C11" i="6"/>
  <c r="MN23" i="5"/>
  <c r="MO23" i="5" s="1"/>
  <c r="MP23" i="5" s="1"/>
  <c r="MD23" i="5"/>
  <c r="AW5" i="6"/>
  <c r="AX5" i="6" s="1"/>
  <c r="AW4" i="6"/>
  <c r="AW27" i="6"/>
  <c r="AX27" i="6" s="1"/>
  <c r="AW25" i="6"/>
  <c r="AX25" i="6" s="1"/>
  <c r="AW24" i="6"/>
  <c r="AX24" i="6" s="1"/>
  <c r="AW21" i="6"/>
  <c r="AX21" i="6" s="1"/>
  <c r="AW19" i="6"/>
  <c r="AX19" i="6" s="1"/>
  <c r="AW18" i="6"/>
  <c r="AX18" i="6" s="1"/>
  <c r="AW17" i="6"/>
  <c r="AX17" i="6" s="1"/>
  <c r="AW23" i="6"/>
  <c r="AX23" i="6" s="1"/>
  <c r="AW16" i="6"/>
  <c r="AX16" i="6" s="1"/>
  <c r="AW15" i="6"/>
  <c r="AX15" i="6" s="1"/>
  <c r="AW14" i="6"/>
  <c r="AX14" i="6" s="1"/>
  <c r="AW22" i="6"/>
  <c r="AX22" i="6" s="1"/>
  <c r="AW20" i="6"/>
  <c r="AX20" i="6" s="1"/>
  <c r="AW13" i="6"/>
  <c r="AX13" i="6" s="1"/>
  <c r="AW12" i="6"/>
  <c r="AX12" i="6" s="1"/>
  <c r="AW11" i="6"/>
  <c r="AX11" i="6" s="1"/>
  <c r="AW10" i="6"/>
  <c r="AX10" i="6" s="1"/>
  <c r="AW26" i="6"/>
  <c r="AX26" i="6" s="1"/>
  <c r="AW9" i="6"/>
  <c r="AX9" i="6" s="1"/>
  <c r="AW8" i="6"/>
  <c r="AX8" i="6" s="1"/>
  <c r="AW7" i="6"/>
  <c r="AX7" i="6" s="1"/>
  <c r="AW6" i="6"/>
  <c r="AX6" i="6" s="1"/>
  <c r="LK28" i="5"/>
  <c r="LQ26" i="5"/>
  <c r="Z18" i="5"/>
  <c r="Y18" i="5"/>
  <c r="X18" i="5"/>
  <c r="EI7" i="6"/>
  <c r="DZ28" i="6"/>
  <c r="KD26" i="5"/>
  <c r="KD27" i="5" s="1"/>
  <c r="JV27" i="5"/>
  <c r="MC31" i="5"/>
  <c r="N10" i="5"/>
  <c r="MG18" i="5"/>
  <c r="MF21" i="5"/>
  <c r="AA15" i="3"/>
  <c r="AA16" i="3"/>
  <c r="KD26" i="3"/>
  <c r="KD27" i="3" s="1"/>
  <c r="JV27" i="3"/>
  <c r="MC31" i="3"/>
  <c r="N10" i="3"/>
  <c r="LQ6" i="3"/>
  <c r="LK26" i="3"/>
  <c r="MG14" i="3"/>
  <c r="MF21" i="3"/>
  <c r="AL4" i="4"/>
  <c r="AL6" i="4" s="1"/>
  <c r="MD21" i="3"/>
  <c r="MN21" i="3"/>
  <c r="MO21" i="3" s="1"/>
  <c r="MP21" i="3" s="1"/>
  <c r="LW7" i="3"/>
  <c r="LW9" i="3" s="1"/>
  <c r="LW12" i="3" s="1"/>
  <c r="LW13" i="3" s="1"/>
  <c r="MC23" i="3" s="1"/>
  <c r="MC24" i="3" s="1"/>
  <c r="MN24" i="3" s="1"/>
  <c r="MO24" i="3" s="1"/>
  <c r="MP24" i="3" s="1"/>
  <c r="AV28" i="4"/>
  <c r="DZ28" i="4"/>
  <c r="EI7" i="4"/>
  <c r="CC9" i="4"/>
  <c r="CL28" i="4" s="1"/>
  <c r="CD9" i="4"/>
  <c r="CN28" i="4" s="1"/>
  <c r="MC29" i="1"/>
  <c r="N11" i="1"/>
  <c r="GZ8" i="2"/>
  <c r="IS8" i="2" s="1"/>
  <c r="IV8" i="2" s="1"/>
  <c r="KS4" i="1"/>
  <c r="KU4" i="1"/>
  <c r="DV3" i="1"/>
  <c r="EI3" i="1" s="1"/>
  <c r="Q11" i="1"/>
  <c r="IL4" i="1"/>
  <c r="IN4" i="1" s="1"/>
  <c r="IP4" i="1" s="1"/>
  <c r="IR4" i="1" s="1"/>
  <c r="MF11" i="1"/>
  <c r="CS6" i="1"/>
  <c r="CS9" i="1" s="1"/>
  <c r="F14" i="1" s="1"/>
  <c r="GD6" i="1"/>
  <c r="GD12" i="1" s="1"/>
  <c r="EL6" i="1"/>
  <c r="FM20" i="1"/>
  <c r="IW7" i="1"/>
  <c r="EC12" i="1"/>
  <c r="JS13" i="1"/>
  <c r="HY15" i="1"/>
  <c r="LI15" i="1" s="1"/>
  <c r="HY18" i="1"/>
  <c r="LI18" i="1" s="1"/>
  <c r="II24" i="1"/>
  <c r="HY25" i="1"/>
  <c r="LI25" i="1" s="1"/>
  <c r="FN20" i="1"/>
  <c r="JF7" i="1"/>
  <c r="JG7" i="1" s="1"/>
  <c r="JJ7" i="1" s="1"/>
  <c r="KJ8" i="1" s="1"/>
  <c r="GH10" i="1"/>
  <c r="IX12" i="1"/>
  <c r="LL12" i="1" s="1"/>
  <c r="LO12" i="1" s="1"/>
  <c r="JF21" i="1"/>
  <c r="JG21" i="1" s="1"/>
  <c r="JJ21" i="1" s="1"/>
  <c r="KJ22" i="1" s="1"/>
  <c r="KQ22" i="1" s="1"/>
  <c r="IK24" i="1"/>
  <c r="O25" i="2"/>
  <c r="JF11" i="1"/>
  <c r="JG11" i="1" s="1"/>
  <c r="JJ11" i="1" s="1"/>
  <c r="KJ12" i="1" s="1"/>
  <c r="HC26" i="1"/>
  <c r="JF17" i="1"/>
  <c r="JG17" i="1" s="1"/>
  <c r="JJ17" i="1" s="1"/>
  <c r="KJ18" i="1" s="1"/>
  <c r="EN9" i="1"/>
  <c r="GE12" i="1"/>
  <c r="IL26" i="1"/>
  <c r="DV12" i="1"/>
  <c r="IX8" i="1"/>
  <c r="LL8" i="1" s="1"/>
  <c r="IQ24" i="1"/>
  <c r="FP26" i="1"/>
  <c r="IX7" i="1"/>
  <c r="LL7" i="1" s="1"/>
  <c r="IX10" i="1"/>
  <c r="LL10" i="1" s="1"/>
  <c r="CU9" i="1"/>
  <c r="EO9" i="1"/>
  <c r="GF12" i="1"/>
  <c r="HF11" i="1"/>
  <c r="IF11" i="1" s="1"/>
  <c r="IM11" i="1" s="1"/>
  <c r="CV9" i="1"/>
  <c r="EV9" i="1"/>
  <c r="DW12" i="1"/>
  <c r="EY7" i="1"/>
  <c r="EL8" i="1"/>
  <c r="M11" i="1"/>
  <c r="JS15" i="1"/>
  <c r="HF17" i="1"/>
  <c r="IF17" i="1" s="1"/>
  <c r="IM17" i="1" s="1"/>
  <c r="HG18" i="1"/>
  <c r="HF20" i="1"/>
  <c r="IF20" i="1" s="1"/>
  <c r="IM20" i="1" s="1"/>
  <c r="KQ21" i="1" s="1"/>
  <c r="FN31" i="1"/>
  <c r="EG7" i="2"/>
  <c r="EH4" i="2" s="1"/>
  <c r="HD26" i="1"/>
  <c r="FC8" i="1"/>
  <c r="CW6" i="1"/>
  <c r="CW9" i="1" s="1"/>
  <c r="H14" i="1" s="1"/>
  <c r="EY6" i="1"/>
  <c r="EY9" i="1" s="1"/>
  <c r="DX12" i="1"/>
  <c r="X12" i="1"/>
  <c r="GD11" i="1"/>
  <c r="IX17" i="1"/>
  <c r="LL17" i="1" s="1"/>
  <c r="LO17" i="1" s="1"/>
  <c r="FP18" i="1"/>
  <c r="HF18" i="1"/>
  <c r="IF18" i="1" s="1"/>
  <c r="IM18" i="1" s="1"/>
  <c r="HY19" i="1"/>
  <c r="LI19" i="1" s="1"/>
  <c r="LO19" i="1" s="1"/>
  <c r="EX9" i="1"/>
  <c r="IP26" i="1"/>
  <c r="GH8" i="1"/>
  <c r="FM24" i="1"/>
  <c r="IW24" i="1"/>
  <c r="IM13" i="1"/>
  <c r="FC6" i="1"/>
  <c r="IR26" i="1"/>
  <c r="HY7" i="1"/>
  <c r="LI7" i="1" s="1"/>
  <c r="LO7" i="1" s="1"/>
  <c r="JF12" i="1"/>
  <c r="JG12" i="1" s="1"/>
  <c r="JJ12" i="1" s="1"/>
  <c r="KJ13" i="1" s="1"/>
  <c r="HY23" i="1"/>
  <c r="LI23" i="1" s="1"/>
  <c r="JF23" i="1"/>
  <c r="JG23" i="1" s="1"/>
  <c r="JJ23" i="1" s="1"/>
  <c r="KJ24" i="1" s="1"/>
  <c r="JF24" i="1"/>
  <c r="JG24" i="1" s="1"/>
  <c r="JJ24" i="1" s="1"/>
  <c r="KJ25" i="1" s="1"/>
  <c r="HT26" i="1"/>
  <c r="K8" i="1" s="1"/>
  <c r="HY8" i="1"/>
  <c r="LI8" i="1" s="1"/>
  <c r="GD10" i="1"/>
  <c r="GH11" i="1"/>
  <c r="HY13" i="1"/>
  <c r="LI13" i="1" s="1"/>
  <c r="LO13" i="1" s="1"/>
  <c r="FP15" i="1"/>
  <c r="IX21" i="1"/>
  <c r="LL21" i="1" s="1"/>
  <c r="FO24" i="1"/>
  <c r="HF24" i="1"/>
  <c r="IF24" i="1" s="1"/>
  <c r="IM24" i="1" s="1"/>
  <c r="HY24" i="1"/>
  <c r="LI24" i="1" s="1"/>
  <c r="FP28" i="1"/>
  <c r="FP34" i="1"/>
  <c r="EM9" i="1"/>
  <c r="HY9" i="1"/>
  <c r="LI9" i="1" s="1"/>
  <c r="IX23" i="1"/>
  <c r="LL23" i="1" s="1"/>
  <c r="F16" i="1"/>
  <c r="AH7" i="1"/>
  <c r="H17" i="1"/>
  <c r="AJ11" i="1"/>
  <c r="EP9" i="1"/>
  <c r="H15" i="1"/>
  <c r="AH11" i="1"/>
  <c r="H16" i="1"/>
  <c r="IT4" i="1"/>
  <c r="IK7" i="1"/>
  <c r="IQ6" i="1"/>
  <c r="IW6" i="1"/>
  <c r="IK6" i="1"/>
  <c r="IU6" i="1"/>
  <c r="II6" i="1"/>
  <c r="IS7" i="1"/>
  <c r="II7" i="1"/>
  <c r="IU7" i="1"/>
  <c r="IM10" i="1"/>
  <c r="DO3" i="1"/>
  <c r="DZ3" i="1"/>
  <c r="EM3" i="1" s="1"/>
  <c r="AI7" i="1"/>
  <c r="FM3" i="1"/>
  <c r="GA3" i="1" s="1"/>
  <c r="GN3" i="1" s="1"/>
  <c r="EV3" i="1"/>
  <c r="F15" i="1"/>
  <c r="IQ7" i="1"/>
  <c r="HP9" i="1"/>
  <c r="HR9" i="1" s="1"/>
  <c r="IG9" i="1"/>
  <c r="KY4" i="1"/>
  <c r="KW4" i="1"/>
  <c r="AI11" i="1"/>
  <c r="GU8" i="1"/>
  <c r="FF9" i="1"/>
  <c r="JF10" i="1"/>
  <c r="JG10" i="1" s="1"/>
  <c r="JJ10" i="1" s="1"/>
  <c r="KJ11" i="1" s="1"/>
  <c r="IG11" i="1"/>
  <c r="IS11" i="1" s="1"/>
  <c r="HP11" i="1"/>
  <c r="HR11" i="1" s="1"/>
  <c r="HG14" i="1"/>
  <c r="GA12" i="1"/>
  <c r="KA6" i="1"/>
  <c r="KA26" i="1" s="1"/>
  <c r="HP6" i="1"/>
  <c r="HR6" i="1" s="1"/>
  <c r="IS6" i="1"/>
  <c r="JS7" i="1"/>
  <c r="JS8" i="1"/>
  <c r="CR9" i="1"/>
  <c r="F24" i="1"/>
  <c r="HQ26" i="1"/>
  <c r="IH26" i="1"/>
  <c r="IT26" i="1"/>
  <c r="JF9" i="1"/>
  <c r="JG9" i="1" s="1"/>
  <c r="JJ9" i="1" s="1"/>
  <c r="KJ10" i="1" s="1"/>
  <c r="KS10" i="1" s="1"/>
  <c r="AA7" i="1"/>
  <c r="FP20" i="1"/>
  <c r="EW9" i="1"/>
  <c r="EA12" i="1"/>
  <c r="JS10" i="1"/>
  <c r="IW11" i="1"/>
  <c r="GU6" i="1"/>
  <c r="HB26" i="1"/>
  <c r="HF26" i="1" s="1"/>
  <c r="IF26" i="1" s="1"/>
  <c r="HS26" i="1"/>
  <c r="IJ26" i="1"/>
  <c r="IV26" i="1"/>
  <c r="JS6" i="1"/>
  <c r="JH9" i="1"/>
  <c r="EB12" i="1"/>
  <c r="HG10" i="1"/>
  <c r="KQ10" i="1"/>
  <c r="HY14" i="1"/>
  <c r="LI14" i="1" s="1"/>
  <c r="LO14" i="1" s="1"/>
  <c r="AJ13" i="1"/>
  <c r="IX6" i="1"/>
  <c r="LL6" i="1" s="1"/>
  <c r="FP7" i="1"/>
  <c r="HG8" i="1"/>
  <c r="JF8" i="1"/>
  <c r="JJ8" i="1" s="1"/>
  <c r="KJ9" i="1" s="1"/>
  <c r="KS9" i="1" s="1"/>
  <c r="EZ9" i="1"/>
  <c r="JH14" i="1"/>
  <c r="HU26" i="1"/>
  <c r="GH6" i="1"/>
  <c r="HE26" i="1"/>
  <c r="KB19" i="1" s="1"/>
  <c r="HV26" i="1"/>
  <c r="KS17" i="1"/>
  <c r="KS23" i="1"/>
  <c r="AJ7" i="1"/>
  <c r="DY12" i="1"/>
  <c r="JH7" i="1"/>
  <c r="JH8" i="1"/>
  <c r="EI9" i="1"/>
  <c r="GO9" i="1"/>
  <c r="HY10" i="1"/>
  <c r="LI10" i="1" s="1"/>
  <c r="LO10" i="1" s="1"/>
  <c r="KS14" i="1"/>
  <c r="IF6" i="1"/>
  <c r="HW26" i="1"/>
  <c r="HX27" i="1" s="1"/>
  <c r="IN26" i="1"/>
  <c r="JW6" i="1"/>
  <c r="GQ8" i="1"/>
  <c r="GP9" i="1"/>
  <c r="Y12" i="1"/>
  <c r="KQ12" i="1"/>
  <c r="IM12" i="1"/>
  <c r="IO26" i="1"/>
  <c r="JF6" i="1"/>
  <c r="HP7" i="1"/>
  <c r="HR7" i="1" s="1"/>
  <c r="IU9" i="1"/>
  <c r="JS9" i="1"/>
  <c r="Z12" i="1"/>
  <c r="KS12" i="1"/>
  <c r="JS11" i="1"/>
  <c r="HY6" i="1"/>
  <c r="LI6" i="1" s="1"/>
  <c r="JY26" i="1"/>
  <c r="IX9" i="1"/>
  <c r="LL9" i="1" s="1"/>
  <c r="II9" i="1"/>
  <c r="AA10" i="1"/>
  <c r="JH11" i="1"/>
  <c r="IX16" i="1"/>
  <c r="LL16" i="1" s="1"/>
  <c r="LO16" i="1" s="1"/>
  <c r="FP17" i="1"/>
  <c r="IX11" i="1"/>
  <c r="LL11" i="1" s="1"/>
  <c r="LO11" i="1" s="1"/>
  <c r="FP13" i="1"/>
  <c r="KQ15" i="1"/>
  <c r="JS16" i="1"/>
  <c r="KQ17" i="1"/>
  <c r="KS13" i="1"/>
  <c r="JS14" i="1"/>
  <c r="HG12" i="1"/>
  <c r="KB12" i="1"/>
  <c r="KS15" i="1"/>
  <c r="FP16" i="1"/>
  <c r="KQ14" i="1"/>
  <c r="JF15" i="1"/>
  <c r="JG15" i="1" s="1"/>
  <c r="JJ15" i="1" s="1"/>
  <c r="KJ16" i="1" s="1"/>
  <c r="KS16" i="1" s="1"/>
  <c r="HF15" i="1"/>
  <c r="IF15" i="1" s="1"/>
  <c r="IM15" i="1" s="1"/>
  <c r="IX22" i="1"/>
  <c r="LL22" i="1" s="1"/>
  <c r="LO22" i="1" s="1"/>
  <c r="JH13" i="1"/>
  <c r="MN29" i="1"/>
  <c r="MO29" i="1" s="1"/>
  <c r="MP29" i="1" s="1"/>
  <c r="HG13" i="1"/>
  <c r="IG18" i="1"/>
  <c r="IS18" i="1" s="1"/>
  <c r="HP18" i="1"/>
  <c r="HR18" i="1" s="1"/>
  <c r="IG15" i="1"/>
  <c r="IU15" i="1" s="1"/>
  <c r="HP15" i="1"/>
  <c r="HR15" i="1" s="1"/>
  <c r="IX15" i="1"/>
  <c r="LL15" i="1" s="1"/>
  <c r="HG16" i="1"/>
  <c r="JH17" i="1"/>
  <c r="HG17" i="1"/>
  <c r="KQ18" i="1"/>
  <c r="KS18" i="1"/>
  <c r="JF18" i="1"/>
  <c r="JG18" i="1" s="1"/>
  <c r="JJ18" i="1" s="1"/>
  <c r="KJ19" i="1" s="1"/>
  <c r="KS21" i="1"/>
  <c r="KS22" i="1"/>
  <c r="JF19" i="1"/>
  <c r="JG19" i="1" s="1"/>
  <c r="JJ19" i="1" s="1"/>
  <c r="KJ20" i="1" s="1"/>
  <c r="KS20" i="1" s="1"/>
  <c r="JH18" i="1"/>
  <c r="JH19" i="1"/>
  <c r="HG19" i="1"/>
  <c r="HG20" i="1"/>
  <c r="JS20" i="1"/>
  <c r="HG21" i="1"/>
  <c r="LO21" i="1"/>
  <c r="FP24" i="1"/>
  <c r="HG22" i="1"/>
  <c r="JH23" i="1"/>
  <c r="HF19" i="1"/>
  <c r="IF19" i="1" s="1"/>
  <c r="IM19" i="1" s="1"/>
  <c r="FP23" i="1"/>
  <c r="IG23" i="1"/>
  <c r="IQ23" i="1" s="1"/>
  <c r="HP23" i="1"/>
  <c r="HR23" i="1" s="1"/>
  <c r="FP22" i="1"/>
  <c r="JH22" i="1"/>
  <c r="IG25" i="1"/>
  <c r="IW25" i="1" s="1"/>
  <c r="HP25" i="1"/>
  <c r="HR25" i="1" s="1"/>
  <c r="IQ25" i="1"/>
  <c r="JS19" i="1"/>
  <c r="IX20" i="1"/>
  <c r="LL20" i="1" s="1"/>
  <c r="LO20" i="1" s="1"/>
  <c r="IM22" i="1"/>
  <c r="KQ24" i="1"/>
  <c r="JS17" i="1"/>
  <c r="IX18" i="1"/>
  <c r="LL18" i="1" s="1"/>
  <c r="LO18" i="1" s="1"/>
  <c r="IU24" i="1"/>
  <c r="IS24" i="1"/>
  <c r="JF25" i="1"/>
  <c r="JG25" i="1" s="1"/>
  <c r="JJ25" i="1" s="1"/>
  <c r="KJ26" i="1" s="1"/>
  <c r="KS26" i="1" s="1"/>
  <c r="JS24" i="1"/>
  <c r="JS23" i="1"/>
  <c r="IX24" i="1"/>
  <c r="LL24" i="1" s="1"/>
  <c r="FP29" i="1"/>
  <c r="O4" i="2"/>
  <c r="KS25" i="1"/>
  <c r="KB25" i="1"/>
  <c r="KS24" i="1"/>
  <c r="HF25" i="1"/>
  <c r="IF25" i="1" s="1"/>
  <c r="IM25" i="1" s="1"/>
  <c r="HP24" i="1"/>
  <c r="HR24" i="1" s="1"/>
  <c r="FM31" i="1"/>
  <c r="FO35" i="1"/>
  <c r="FP35" i="1" s="1"/>
  <c r="JS22" i="1"/>
  <c r="IX25" i="1"/>
  <c r="LL25" i="1" s="1"/>
  <c r="LO25" i="1" s="1"/>
  <c r="FP33" i="1"/>
  <c r="AS4" i="2"/>
  <c r="O5" i="2"/>
  <c r="AU9" i="2"/>
  <c r="GZ7" i="2"/>
  <c r="IS7" i="2" s="1"/>
  <c r="O6" i="2"/>
  <c r="AS6" i="2"/>
  <c r="AU6" i="2" s="1"/>
  <c r="AS5" i="2"/>
  <c r="AU8" i="2"/>
  <c r="GZ15" i="2"/>
  <c r="IS15" i="2" s="1"/>
  <c r="IV15" i="2" s="1"/>
  <c r="GZ27" i="2"/>
  <c r="GZ25" i="2"/>
  <c r="GZ21" i="2"/>
  <c r="GZ18" i="2"/>
  <c r="GZ16" i="2"/>
  <c r="IS16" i="2" s="1"/>
  <c r="GZ19" i="2"/>
  <c r="IS19" i="2" s="1"/>
  <c r="GZ5" i="2"/>
  <c r="GZ4" i="2"/>
  <c r="GZ10" i="2"/>
  <c r="AU7" i="2"/>
  <c r="AU10" i="2"/>
  <c r="DW12" i="2"/>
  <c r="GZ12" i="2"/>
  <c r="IS12" i="2" s="1"/>
  <c r="DW4" i="2"/>
  <c r="DW6" i="2"/>
  <c r="O11" i="2"/>
  <c r="GZ9" i="2"/>
  <c r="IS9" i="2" s="1"/>
  <c r="GZ13" i="2"/>
  <c r="IS13" i="2" s="1"/>
  <c r="AU15" i="2"/>
  <c r="DW11" i="2"/>
  <c r="GZ20" i="2"/>
  <c r="IS20" i="2" s="1"/>
  <c r="DW9" i="2"/>
  <c r="O14" i="2"/>
  <c r="HA8" i="2"/>
  <c r="HB8" i="2" s="1"/>
  <c r="O12" i="2"/>
  <c r="AU13" i="2"/>
  <c r="GZ14" i="2"/>
  <c r="IS14" i="2" s="1"/>
  <c r="GZ11" i="2"/>
  <c r="AU16" i="2"/>
  <c r="GZ17" i="2"/>
  <c r="IS17" i="2" s="1"/>
  <c r="IV17" i="2" s="1"/>
  <c r="DW22" i="2"/>
  <c r="DW17" i="2"/>
  <c r="DW13" i="2"/>
  <c r="DW14" i="2"/>
  <c r="AU17" i="2"/>
  <c r="AS21" i="2"/>
  <c r="GZ22" i="2"/>
  <c r="IS22" i="2" s="1"/>
  <c r="AS20" i="2"/>
  <c r="AU20" i="2" s="1"/>
  <c r="GZ26" i="2"/>
  <c r="AS26" i="2"/>
  <c r="DW18" i="2"/>
  <c r="O19" i="2"/>
  <c r="O22" i="2"/>
  <c r="AU19" i="2"/>
  <c r="AS25" i="2"/>
  <c r="AS22" i="2"/>
  <c r="AS23" i="2"/>
  <c r="GZ24" i="2"/>
  <c r="IS24" i="2" s="1"/>
  <c r="IV24" i="2" s="1"/>
  <c r="O23" i="2"/>
  <c r="GZ23" i="2"/>
  <c r="IS23" i="2" s="1"/>
  <c r="IV23" i="2" s="1"/>
  <c r="AS27" i="2"/>
  <c r="DW21" i="2"/>
  <c r="AS24" i="2"/>
  <c r="MD31" i="9" l="1"/>
  <c r="MN31" i="9"/>
  <c r="MO31" i="9" s="1"/>
  <c r="MP31" i="9" s="1"/>
  <c r="N12" i="9"/>
  <c r="MC10" i="9"/>
  <c r="Q10" i="9"/>
  <c r="O10" i="9"/>
  <c r="R10" i="9" s="1"/>
  <c r="P10" i="9"/>
  <c r="X18" i="9"/>
  <c r="Y18" i="9"/>
  <c r="Z18" i="9"/>
  <c r="MF23" i="9"/>
  <c r="MG23" i="9" s="1"/>
  <c r="MF24" i="9"/>
  <c r="MG21" i="9"/>
  <c r="AW6" i="10"/>
  <c r="AX6" i="10" s="1"/>
  <c r="AW7" i="10"/>
  <c r="AX7" i="10" s="1"/>
  <c r="AW8" i="10"/>
  <c r="AX8" i="10" s="1"/>
  <c r="AW9" i="10"/>
  <c r="AX9" i="10" s="1"/>
  <c r="AW10" i="10"/>
  <c r="AX10" i="10" s="1"/>
  <c r="AW11" i="10"/>
  <c r="AX11" i="10" s="1"/>
  <c r="AW12" i="10"/>
  <c r="AX12" i="10" s="1"/>
  <c r="AW13" i="10"/>
  <c r="AX13" i="10" s="1"/>
  <c r="AW14" i="10"/>
  <c r="AX14" i="10" s="1"/>
  <c r="AW15" i="10"/>
  <c r="AX15" i="10" s="1"/>
  <c r="AW16" i="10"/>
  <c r="AX16" i="10" s="1"/>
  <c r="AW17" i="10"/>
  <c r="AX17" i="10" s="1"/>
  <c r="AW18" i="10"/>
  <c r="AX18" i="10" s="1"/>
  <c r="AW19" i="10"/>
  <c r="AX19" i="10" s="1"/>
  <c r="AW21" i="10"/>
  <c r="AX21" i="10" s="1"/>
  <c r="AW22" i="10"/>
  <c r="AX22" i="10" s="1"/>
  <c r="AW23" i="10"/>
  <c r="AX23" i="10" s="1"/>
  <c r="AW20" i="10"/>
  <c r="AX20" i="10" s="1"/>
  <c r="AW24" i="10"/>
  <c r="AX24" i="10" s="1"/>
  <c r="AW25" i="10"/>
  <c r="AX25" i="10" s="1"/>
  <c r="AW26" i="10"/>
  <c r="AX26" i="10" s="1"/>
  <c r="AW27" i="10"/>
  <c r="AX27" i="10" s="1"/>
  <c r="AW4" i="10"/>
  <c r="AW5" i="10"/>
  <c r="AX5" i="10" s="1"/>
  <c r="MD23" i="9"/>
  <c r="MN23" i="9"/>
  <c r="MO23" i="9" s="1"/>
  <c r="MP23" i="9" s="1"/>
  <c r="C11" i="10"/>
  <c r="EA11" i="10"/>
  <c r="GM11" i="10" s="1"/>
  <c r="FX11" i="10"/>
  <c r="FX10" i="10"/>
  <c r="EA10" i="10"/>
  <c r="GM10" i="10" s="1"/>
  <c r="FX9" i="10"/>
  <c r="EA9" i="10"/>
  <c r="GM9" i="10" s="1"/>
  <c r="FX6" i="10"/>
  <c r="EA6" i="10"/>
  <c r="GM6" i="10" s="1"/>
  <c r="EA15" i="10"/>
  <c r="GM15" i="10" s="1"/>
  <c r="FX15" i="10"/>
  <c r="EA12" i="10"/>
  <c r="GM12" i="10" s="1"/>
  <c r="FX12" i="10"/>
  <c r="FX18" i="10"/>
  <c r="EA18" i="10"/>
  <c r="GM18" i="10" s="1"/>
  <c r="FX26" i="10"/>
  <c r="EA26" i="10"/>
  <c r="GM26" i="10" s="1"/>
  <c r="EA21" i="10"/>
  <c r="GM21" i="10" s="1"/>
  <c r="FX21" i="10"/>
  <c r="EA16" i="10"/>
  <c r="GM16" i="10" s="1"/>
  <c r="FX16" i="10"/>
  <c r="EA5" i="10"/>
  <c r="GM5" i="10" s="1"/>
  <c r="FX5" i="10"/>
  <c r="EA17" i="10"/>
  <c r="GM17" i="10" s="1"/>
  <c r="FX17" i="10"/>
  <c r="FX13" i="10"/>
  <c r="EA13" i="10"/>
  <c r="GM13" i="10" s="1"/>
  <c r="EA20" i="10"/>
  <c r="GM20" i="10" s="1"/>
  <c r="FX20" i="10"/>
  <c r="EA19" i="10"/>
  <c r="GM19" i="10" s="1"/>
  <c r="FX19" i="10"/>
  <c r="EA4" i="10"/>
  <c r="GM4" i="10" s="1"/>
  <c r="FX4" i="10"/>
  <c r="FX25" i="10"/>
  <c r="EA25" i="10"/>
  <c r="GM25" i="10" s="1"/>
  <c r="EA22" i="10"/>
  <c r="GM22" i="10" s="1"/>
  <c r="FX22" i="10"/>
  <c r="EA14" i="10"/>
  <c r="GM14" i="10" s="1"/>
  <c r="FX14" i="10"/>
  <c r="FX7" i="10"/>
  <c r="EA7" i="10"/>
  <c r="GM7" i="10" s="1"/>
  <c r="EU4" i="10"/>
  <c r="EU9" i="10"/>
  <c r="EU6" i="10"/>
  <c r="EU12" i="10"/>
  <c r="EU25" i="10"/>
  <c r="EU26" i="10"/>
  <c r="EU5" i="10"/>
  <c r="EU10" i="10"/>
  <c r="EU13" i="10"/>
  <c r="EU15" i="10"/>
  <c r="EU17" i="10"/>
  <c r="EU22" i="10"/>
  <c r="EU27" i="10"/>
  <c r="EU11" i="10"/>
  <c r="EU24" i="10"/>
  <c r="EU8" i="10"/>
  <c r="EU7" i="10"/>
  <c r="EU19" i="10"/>
  <c r="EU20" i="10"/>
  <c r="EU16" i="10"/>
  <c r="EU18" i="10"/>
  <c r="EU21" i="10"/>
  <c r="EU23" i="10"/>
  <c r="EU14" i="10"/>
  <c r="CL27" i="10"/>
  <c r="CL22" i="10"/>
  <c r="CL10" i="10"/>
  <c r="CL9" i="10"/>
  <c r="CL6" i="10"/>
  <c r="CL24" i="10"/>
  <c r="CL23" i="10"/>
  <c r="CL21" i="10"/>
  <c r="CL20" i="10"/>
  <c r="CL19" i="10"/>
  <c r="CL16" i="10"/>
  <c r="CL14" i="10"/>
  <c r="CL13" i="10"/>
  <c r="CL12" i="10"/>
  <c r="CL5" i="10"/>
  <c r="CL15" i="10"/>
  <c r="CL26" i="10"/>
  <c r="CL11" i="10"/>
  <c r="CL8" i="10"/>
  <c r="CL7" i="10"/>
  <c r="CL25" i="10"/>
  <c r="CL18" i="10"/>
  <c r="CL17" i="10"/>
  <c r="CL4" i="10"/>
  <c r="CN7" i="10"/>
  <c r="CO7" i="10" s="1"/>
  <c r="CN18" i="10"/>
  <c r="CO18" i="10" s="1"/>
  <c r="CN20" i="10"/>
  <c r="CO20" i="10" s="1"/>
  <c r="CN15" i="10"/>
  <c r="CO15" i="10" s="1"/>
  <c r="CN5" i="10"/>
  <c r="CO5" i="10" s="1"/>
  <c r="CN6" i="10"/>
  <c r="CO6" i="10" s="1"/>
  <c r="CN11" i="10"/>
  <c r="CO11" i="10" s="1"/>
  <c r="CN9" i="10"/>
  <c r="CO9" i="10" s="1"/>
  <c r="CN16" i="10"/>
  <c r="CO16" i="10" s="1"/>
  <c r="CN22" i="10"/>
  <c r="CO22" i="10" s="1"/>
  <c r="CN27" i="10"/>
  <c r="CO27" i="10" s="1"/>
  <c r="CN12" i="10"/>
  <c r="CO12" i="10" s="1"/>
  <c r="CN10" i="10"/>
  <c r="CO10" i="10" s="1"/>
  <c r="CN23" i="10"/>
  <c r="CO23" i="10" s="1"/>
  <c r="CN14" i="10"/>
  <c r="CO14" i="10" s="1"/>
  <c r="CN24" i="10"/>
  <c r="CO24" i="10" s="1"/>
  <c r="CN8" i="10"/>
  <c r="CO8" i="10" s="1"/>
  <c r="CN13" i="10"/>
  <c r="CO13" i="10" s="1"/>
  <c r="CN17" i="10"/>
  <c r="CO17" i="10" s="1"/>
  <c r="CN19" i="10"/>
  <c r="CO19" i="10" s="1"/>
  <c r="CN21" i="10"/>
  <c r="CO21" i="10" s="1"/>
  <c r="CN25" i="10"/>
  <c r="CO25" i="10" s="1"/>
  <c r="CN26" i="10"/>
  <c r="CO26" i="10" s="1"/>
  <c r="CN4" i="10"/>
  <c r="CO4" i="10" s="1"/>
  <c r="BQ4" i="8"/>
  <c r="BQ6" i="8"/>
  <c r="BQ13" i="8"/>
  <c r="BQ17" i="8"/>
  <c r="BQ22" i="8"/>
  <c r="BQ27" i="8"/>
  <c r="BQ5" i="8"/>
  <c r="BQ14" i="8"/>
  <c r="BQ16" i="8"/>
  <c r="BQ18" i="8"/>
  <c r="BQ23" i="8"/>
  <c r="BQ19" i="8"/>
  <c r="BQ20" i="8"/>
  <c r="BQ11" i="8"/>
  <c r="BQ12" i="8"/>
  <c r="BQ15" i="8"/>
  <c r="BQ21" i="8"/>
  <c r="BQ24" i="8"/>
  <c r="BQ25" i="8"/>
  <c r="BQ7" i="8"/>
  <c r="BQ8" i="8"/>
  <c r="BQ9" i="8"/>
  <c r="BQ10" i="8"/>
  <c r="BQ26" i="8"/>
  <c r="CD4" i="8"/>
  <c r="CC4" i="8"/>
  <c r="CC5" i="8"/>
  <c r="CD5" i="8"/>
  <c r="CC6" i="8"/>
  <c r="CD6" i="8"/>
  <c r="CC7" i="8"/>
  <c r="CD7" i="8"/>
  <c r="CC8" i="8"/>
  <c r="CD8" i="8"/>
  <c r="MN31" i="7"/>
  <c r="MO31" i="7" s="1"/>
  <c r="MP31" i="7" s="1"/>
  <c r="MD31" i="7"/>
  <c r="O10" i="7"/>
  <c r="R10" i="7" s="1"/>
  <c r="P10" i="7"/>
  <c r="Q10" i="7"/>
  <c r="MC10" i="7"/>
  <c r="N12" i="7"/>
  <c r="X18" i="7"/>
  <c r="Y18" i="7"/>
  <c r="Z18" i="7"/>
  <c r="LK28" i="7"/>
  <c r="LQ26" i="7"/>
  <c r="MF23" i="7"/>
  <c r="MG21" i="7"/>
  <c r="AW6" i="8"/>
  <c r="AX6" i="8" s="1"/>
  <c r="AW7" i="8"/>
  <c r="AX7" i="8" s="1"/>
  <c r="AW8" i="8"/>
  <c r="AX8" i="8" s="1"/>
  <c r="AW9" i="8"/>
  <c r="AX9" i="8" s="1"/>
  <c r="AW10" i="8"/>
  <c r="AX10" i="8" s="1"/>
  <c r="AW11" i="8"/>
  <c r="AX11" i="8" s="1"/>
  <c r="AW13" i="8"/>
  <c r="AX13" i="8" s="1"/>
  <c r="AW14" i="8"/>
  <c r="AX14" i="8" s="1"/>
  <c r="AW15" i="8"/>
  <c r="AX15" i="8" s="1"/>
  <c r="AW18" i="8"/>
  <c r="AX18" i="8" s="1"/>
  <c r="AW19" i="8"/>
  <c r="AX19" i="8" s="1"/>
  <c r="AW20" i="8"/>
  <c r="AX20" i="8" s="1"/>
  <c r="AW16" i="8"/>
  <c r="AX16" i="8" s="1"/>
  <c r="AW21" i="8"/>
  <c r="AX21" i="8" s="1"/>
  <c r="AW22" i="8"/>
  <c r="AX22" i="8" s="1"/>
  <c r="AW23" i="8"/>
  <c r="AX23" i="8" s="1"/>
  <c r="AW24" i="8"/>
  <c r="AX24" i="8" s="1"/>
  <c r="AW5" i="8"/>
  <c r="AX5" i="8" s="1"/>
  <c r="AW4" i="8"/>
  <c r="AW17" i="8"/>
  <c r="AX17" i="8" s="1"/>
  <c r="AW27" i="8"/>
  <c r="AX27" i="8" s="1"/>
  <c r="AW12" i="8"/>
  <c r="AX12" i="8" s="1"/>
  <c r="AW25" i="8"/>
  <c r="AX25" i="8" s="1"/>
  <c r="AW26" i="8"/>
  <c r="AX26" i="8" s="1"/>
  <c r="MD23" i="7"/>
  <c r="C11" i="8"/>
  <c r="MN23" i="7"/>
  <c r="MO23" i="7" s="1"/>
  <c r="MP23" i="7" s="1"/>
  <c r="EI4" i="8"/>
  <c r="EQ28" i="8" s="1"/>
  <c r="EI5" i="8"/>
  <c r="ES28" i="8" s="1"/>
  <c r="EI6" i="8"/>
  <c r="EU28" i="8" s="1"/>
  <c r="DZ20" i="8"/>
  <c r="DZ11" i="8"/>
  <c r="DZ16" i="8"/>
  <c r="DZ4" i="8"/>
  <c r="DZ17" i="8"/>
  <c r="DZ6" i="8"/>
  <c r="DZ18" i="8"/>
  <c r="DZ22" i="8"/>
  <c r="DZ24" i="8"/>
  <c r="FX24" i="8" s="1"/>
  <c r="DZ25" i="8"/>
  <c r="DZ26" i="8"/>
  <c r="DZ15" i="8"/>
  <c r="DZ19" i="8"/>
  <c r="DZ21" i="8"/>
  <c r="DZ23" i="8"/>
  <c r="FX23" i="8" s="1"/>
  <c r="DZ27" i="8"/>
  <c r="FX27" i="8" s="1"/>
  <c r="DZ5" i="8"/>
  <c r="DZ7" i="8"/>
  <c r="DZ8" i="8"/>
  <c r="FX8" i="8" s="1"/>
  <c r="DZ9" i="8"/>
  <c r="DZ10" i="8"/>
  <c r="DZ13" i="8"/>
  <c r="DZ14" i="8"/>
  <c r="DZ12" i="8"/>
  <c r="EA28" i="8"/>
  <c r="MC24" i="7"/>
  <c r="MN24" i="7" s="1"/>
  <c r="MO24" i="7" s="1"/>
  <c r="MP24" i="7" s="1"/>
  <c r="MC25" i="7"/>
  <c r="CN4" i="6"/>
  <c r="CN7" i="6"/>
  <c r="CN11" i="6"/>
  <c r="CN23" i="6"/>
  <c r="CN15" i="6"/>
  <c r="CN14" i="6"/>
  <c r="CN17" i="6"/>
  <c r="CN24" i="6"/>
  <c r="CN6" i="6"/>
  <c r="CN9" i="6"/>
  <c r="CN8" i="6"/>
  <c r="CN10" i="6"/>
  <c r="CN18" i="6"/>
  <c r="CN5" i="6"/>
  <c r="CN26" i="6"/>
  <c r="CN19" i="6"/>
  <c r="CN27" i="6"/>
  <c r="CN22" i="6"/>
  <c r="CN12" i="6"/>
  <c r="CN16" i="6"/>
  <c r="CN13" i="6"/>
  <c r="CN25" i="6"/>
  <c r="CN21" i="6"/>
  <c r="CN20" i="6"/>
  <c r="CL4" i="6"/>
  <c r="CL8" i="6"/>
  <c r="CL24" i="6"/>
  <c r="CL25" i="6"/>
  <c r="CL16" i="6"/>
  <c r="CL15" i="6"/>
  <c r="CL27" i="6"/>
  <c r="CL10" i="6"/>
  <c r="CL17" i="6"/>
  <c r="CL7" i="6"/>
  <c r="CL26" i="6"/>
  <c r="CL13" i="6"/>
  <c r="CL19" i="6"/>
  <c r="CL12" i="6"/>
  <c r="CL14" i="6"/>
  <c r="CL18" i="6"/>
  <c r="CL21" i="6"/>
  <c r="CL9" i="6"/>
  <c r="CL20" i="6"/>
  <c r="CL11" i="6"/>
  <c r="CL23" i="6"/>
  <c r="CL22" i="6"/>
  <c r="CL6" i="6"/>
  <c r="CL5" i="6"/>
  <c r="FD4" i="6"/>
  <c r="AZ5" i="6"/>
  <c r="GI5" i="6" s="1"/>
  <c r="FT5" i="6"/>
  <c r="AX4" i="6"/>
  <c r="AW28" i="6"/>
  <c r="FT27" i="6"/>
  <c r="FT25" i="6"/>
  <c r="AZ25" i="6"/>
  <c r="GI25" i="6" s="1"/>
  <c r="FT24" i="6"/>
  <c r="FT21" i="6"/>
  <c r="AZ21" i="6"/>
  <c r="GI21" i="6" s="1"/>
  <c r="AZ19" i="6"/>
  <c r="GI19" i="6" s="1"/>
  <c r="FT19" i="6"/>
  <c r="AZ18" i="6"/>
  <c r="GI18" i="6" s="1"/>
  <c r="FT18" i="6"/>
  <c r="AZ17" i="6"/>
  <c r="GI17" i="6" s="1"/>
  <c r="FT17" i="6"/>
  <c r="FT23" i="6"/>
  <c r="FT16" i="6"/>
  <c r="AZ16" i="6"/>
  <c r="GI16" i="6" s="1"/>
  <c r="AZ15" i="6"/>
  <c r="GI15" i="6" s="1"/>
  <c r="FT15" i="6"/>
  <c r="FT14" i="6"/>
  <c r="AZ14" i="6"/>
  <c r="GI14" i="6" s="1"/>
  <c r="FT22" i="6"/>
  <c r="AZ22" i="6"/>
  <c r="GI22" i="6" s="1"/>
  <c r="AZ20" i="6"/>
  <c r="GI20" i="6" s="1"/>
  <c r="FT20" i="6"/>
  <c r="FT13" i="6"/>
  <c r="AZ13" i="6"/>
  <c r="GI13" i="6" s="1"/>
  <c r="AZ12" i="6"/>
  <c r="GI12" i="6" s="1"/>
  <c r="FT12" i="6"/>
  <c r="AZ11" i="6"/>
  <c r="GI11" i="6" s="1"/>
  <c r="FT11" i="6"/>
  <c r="AZ10" i="6"/>
  <c r="GI10" i="6" s="1"/>
  <c r="FT10" i="6"/>
  <c r="FT26" i="6"/>
  <c r="AZ26" i="6"/>
  <c r="GI26" i="6" s="1"/>
  <c r="FT9" i="6"/>
  <c r="AZ9" i="6"/>
  <c r="GI9" i="6" s="1"/>
  <c r="FT8" i="6"/>
  <c r="AZ7" i="6"/>
  <c r="GI7" i="6" s="1"/>
  <c r="FT7" i="6"/>
  <c r="AZ6" i="6"/>
  <c r="GI6" i="6" s="1"/>
  <c r="FT6" i="6"/>
  <c r="Z22" i="5"/>
  <c r="Z20" i="5"/>
  <c r="Z19" i="5"/>
  <c r="Z23" i="5" s="1"/>
  <c r="Y22" i="5"/>
  <c r="Y20" i="5"/>
  <c r="Y19" i="5"/>
  <c r="Y23" i="5" s="1"/>
  <c r="X22" i="5"/>
  <c r="X20" i="5"/>
  <c r="X19" i="5"/>
  <c r="X23" i="5" s="1"/>
  <c r="AA18" i="5"/>
  <c r="EI6" i="6"/>
  <c r="EU28" i="6" s="1"/>
  <c r="EI5" i="6"/>
  <c r="ES28" i="6" s="1"/>
  <c r="EI4" i="6"/>
  <c r="EQ28" i="6" s="1"/>
  <c r="DZ4" i="6"/>
  <c r="DZ12" i="6"/>
  <c r="DZ5" i="6"/>
  <c r="DZ6" i="6"/>
  <c r="DZ23" i="6"/>
  <c r="FX23" i="6" s="1"/>
  <c r="DZ10" i="6"/>
  <c r="DZ11" i="6"/>
  <c r="DZ8" i="6"/>
  <c r="FX8" i="6" s="1"/>
  <c r="DZ18" i="6"/>
  <c r="DZ16" i="6"/>
  <c r="DZ26" i="6"/>
  <c r="DZ19" i="6"/>
  <c r="DZ14" i="6"/>
  <c r="DZ7" i="6"/>
  <c r="DZ21" i="6"/>
  <c r="DZ17" i="6"/>
  <c r="DZ15" i="6"/>
  <c r="DZ9" i="6"/>
  <c r="DZ25" i="6"/>
  <c r="DZ22" i="6"/>
  <c r="DZ13" i="6"/>
  <c r="DZ24" i="6"/>
  <c r="FX24" i="6" s="1"/>
  <c r="DZ27" i="6"/>
  <c r="FX27" i="6" s="1"/>
  <c r="DZ20" i="6"/>
  <c r="EA28" i="6"/>
  <c r="MN31" i="5"/>
  <c r="MO31" i="5" s="1"/>
  <c r="MP31" i="5" s="1"/>
  <c r="MD31" i="5"/>
  <c r="N12" i="5"/>
  <c r="Q10" i="5"/>
  <c r="O10" i="5"/>
  <c r="R10" i="5" s="1"/>
  <c r="MC10" i="5"/>
  <c r="P10" i="5"/>
  <c r="MG21" i="5"/>
  <c r="MF23" i="5"/>
  <c r="MD31" i="3"/>
  <c r="MN31" i="3"/>
  <c r="MO31" i="3" s="1"/>
  <c r="MP31" i="3" s="1"/>
  <c r="N12" i="3"/>
  <c r="P10" i="3"/>
  <c r="Q10" i="3"/>
  <c r="O10" i="3"/>
  <c r="R10" i="3" s="1"/>
  <c r="MC10" i="3"/>
  <c r="X18" i="3"/>
  <c r="Y18" i="3"/>
  <c r="Z18" i="3"/>
  <c r="LQ26" i="3"/>
  <c r="LK28" i="3"/>
  <c r="MF23" i="3"/>
  <c r="MG21" i="3"/>
  <c r="AW10" i="4"/>
  <c r="AX10" i="4" s="1"/>
  <c r="AW11" i="4"/>
  <c r="AX11" i="4" s="1"/>
  <c r="AW12" i="4"/>
  <c r="AX12" i="4" s="1"/>
  <c r="AW13" i="4"/>
  <c r="AX13" i="4" s="1"/>
  <c r="AW14" i="4"/>
  <c r="AX14" i="4" s="1"/>
  <c r="AW16" i="4"/>
  <c r="AX16" i="4" s="1"/>
  <c r="AW17" i="4"/>
  <c r="AX17" i="4" s="1"/>
  <c r="AW18" i="4"/>
  <c r="AX18" i="4" s="1"/>
  <c r="AW8" i="4"/>
  <c r="AX8" i="4" s="1"/>
  <c r="AW19" i="4"/>
  <c r="AX19" i="4" s="1"/>
  <c r="AW20" i="4"/>
  <c r="AX20" i="4" s="1"/>
  <c r="AW6" i="4"/>
  <c r="AX6" i="4" s="1"/>
  <c r="AW7" i="4"/>
  <c r="AX7" i="4" s="1"/>
  <c r="AW21" i="4"/>
  <c r="AX21" i="4" s="1"/>
  <c r="AW22" i="4"/>
  <c r="AX22" i="4" s="1"/>
  <c r="AW23" i="4"/>
  <c r="AX23" i="4" s="1"/>
  <c r="AW24" i="4"/>
  <c r="AX24" i="4" s="1"/>
  <c r="AW25" i="4"/>
  <c r="AX25" i="4" s="1"/>
  <c r="AW26" i="4"/>
  <c r="AX26" i="4" s="1"/>
  <c r="AW27" i="4"/>
  <c r="AX27" i="4" s="1"/>
  <c r="AW4" i="4"/>
  <c r="AW5" i="4"/>
  <c r="AX5" i="4" s="1"/>
  <c r="AW9" i="4"/>
  <c r="AX9" i="4" s="1"/>
  <c r="AW15" i="4"/>
  <c r="AX15" i="4" s="1"/>
  <c r="MD23" i="3"/>
  <c r="MN23" i="3"/>
  <c r="MO23" i="3" s="1"/>
  <c r="MP23" i="3" s="1"/>
  <c r="C11" i="4"/>
  <c r="DZ4" i="4"/>
  <c r="DZ5" i="4"/>
  <c r="DZ6" i="4"/>
  <c r="DZ11" i="4"/>
  <c r="DZ17" i="4"/>
  <c r="DZ15" i="4"/>
  <c r="DZ10" i="4"/>
  <c r="DZ9" i="4"/>
  <c r="DZ27" i="4"/>
  <c r="FX27" i="4" s="1"/>
  <c r="DZ21" i="4"/>
  <c r="DZ8" i="4"/>
  <c r="FX8" i="4" s="1"/>
  <c r="DZ26" i="4"/>
  <c r="DZ25" i="4"/>
  <c r="DZ24" i="4"/>
  <c r="FX24" i="4" s="1"/>
  <c r="DZ23" i="4"/>
  <c r="FX23" i="4" s="1"/>
  <c r="DZ22" i="4"/>
  <c r="DZ20" i="4"/>
  <c r="DZ19" i="4"/>
  <c r="DZ18" i="4"/>
  <c r="DZ16" i="4"/>
  <c r="DZ14" i="4"/>
  <c r="DZ13" i="4"/>
  <c r="DZ12" i="4"/>
  <c r="DZ7" i="4"/>
  <c r="EA28" i="4"/>
  <c r="EI5" i="4"/>
  <c r="ES28" i="4" s="1"/>
  <c r="EI4" i="4"/>
  <c r="EQ28" i="4" s="1"/>
  <c r="EI6" i="4"/>
  <c r="EU28" i="4" s="1"/>
  <c r="CL14" i="4"/>
  <c r="CL26" i="4"/>
  <c r="CL25" i="4"/>
  <c r="CL22" i="4"/>
  <c r="CL20" i="4"/>
  <c r="CL7" i="4"/>
  <c r="CL24" i="4"/>
  <c r="CL23" i="4"/>
  <c r="CL19" i="4"/>
  <c r="CL18" i="4"/>
  <c r="CL17" i="4"/>
  <c r="CL16" i="4"/>
  <c r="CL15" i="4"/>
  <c r="CL13" i="4"/>
  <c r="CL12" i="4"/>
  <c r="CL11" i="4"/>
  <c r="CL10" i="4"/>
  <c r="CL9" i="4"/>
  <c r="CL8" i="4"/>
  <c r="CL6" i="4"/>
  <c r="CL5" i="4"/>
  <c r="CL27" i="4"/>
  <c r="CL21" i="4"/>
  <c r="CL4" i="4"/>
  <c r="CN7" i="4"/>
  <c r="CO7" i="4" s="1"/>
  <c r="CN12" i="4"/>
  <c r="CO12" i="4" s="1"/>
  <c r="CN13" i="4"/>
  <c r="CO13" i="4" s="1"/>
  <c r="CN14" i="4"/>
  <c r="CO14" i="4" s="1"/>
  <c r="CN16" i="4"/>
  <c r="CO16" i="4" s="1"/>
  <c r="CN18" i="4"/>
  <c r="CO18" i="4" s="1"/>
  <c r="CN19" i="4"/>
  <c r="CO19" i="4" s="1"/>
  <c r="CN20" i="4"/>
  <c r="CO20" i="4" s="1"/>
  <c r="CN22" i="4"/>
  <c r="CO22" i="4" s="1"/>
  <c r="CN23" i="4"/>
  <c r="CO23" i="4" s="1"/>
  <c r="CN24" i="4"/>
  <c r="CO24" i="4" s="1"/>
  <c r="CN25" i="4"/>
  <c r="CO25" i="4" s="1"/>
  <c r="CN26" i="4"/>
  <c r="CO26" i="4" s="1"/>
  <c r="CN27" i="4"/>
  <c r="CO27" i="4" s="1"/>
  <c r="CN8" i="4"/>
  <c r="CO8" i="4" s="1"/>
  <c r="CN9" i="4"/>
  <c r="CO9" i="4" s="1"/>
  <c r="CN10" i="4"/>
  <c r="CO10" i="4" s="1"/>
  <c r="CN15" i="4"/>
  <c r="CO15" i="4" s="1"/>
  <c r="CN17" i="4"/>
  <c r="CO17" i="4" s="1"/>
  <c r="CN11" i="4"/>
  <c r="CO11" i="4" s="1"/>
  <c r="CN6" i="4"/>
  <c r="CO6" i="4" s="1"/>
  <c r="CN5" i="4"/>
  <c r="CO5" i="4" s="1"/>
  <c r="CN21" i="4"/>
  <c r="CO21" i="4" s="1"/>
  <c r="CN4" i="4"/>
  <c r="CO4" i="4" s="1"/>
  <c r="EH5" i="2"/>
  <c r="P11" i="1"/>
  <c r="EH7" i="2"/>
  <c r="MN11" i="1"/>
  <c r="MO11" i="1" s="1"/>
  <c r="MP11" i="1" s="1"/>
  <c r="MF29" i="1"/>
  <c r="EH6" i="2"/>
  <c r="EL9" i="1"/>
  <c r="LO8" i="1"/>
  <c r="II18" i="1"/>
  <c r="IW18" i="1"/>
  <c r="KB17" i="1"/>
  <c r="LO23" i="1"/>
  <c r="KB21" i="1"/>
  <c r="KB23" i="1"/>
  <c r="KB13" i="1"/>
  <c r="KQ26" i="1"/>
  <c r="IK18" i="1"/>
  <c r="KB22" i="1"/>
  <c r="KS8" i="1"/>
  <c r="KQ8" i="1"/>
  <c r="LO24" i="1"/>
  <c r="IK25" i="1"/>
  <c r="IY24" i="1"/>
  <c r="LM24" i="1" s="1"/>
  <c r="LO15" i="1"/>
  <c r="IW23" i="1"/>
  <c r="IU18" i="1"/>
  <c r="GH12" i="1"/>
  <c r="H10" i="1" s="1"/>
  <c r="IK11" i="1"/>
  <c r="II25" i="1"/>
  <c r="IU25" i="1"/>
  <c r="IY25" i="1" s="1"/>
  <c r="KB20" i="1"/>
  <c r="LO9" i="1"/>
  <c r="KQ11" i="1"/>
  <c r="IS15" i="1"/>
  <c r="KS11" i="1"/>
  <c r="FC9" i="1"/>
  <c r="FE6" i="1" s="1"/>
  <c r="KS19" i="1"/>
  <c r="FN36" i="1"/>
  <c r="IK23" i="1"/>
  <c r="JW26" i="1"/>
  <c r="KQ9" i="1"/>
  <c r="IS11" i="2"/>
  <c r="CF22" i="1"/>
  <c r="CI22" i="1" s="1"/>
  <c r="X8" i="1"/>
  <c r="G11" i="1"/>
  <c r="Z8" i="1"/>
  <c r="G14" i="1"/>
  <c r="CG13" i="1" s="1"/>
  <c r="CH13" i="1" s="1"/>
  <c r="CF13" i="1"/>
  <c r="CI13" i="1" s="1"/>
  <c r="CJ13" i="1" s="1"/>
  <c r="AH9" i="1"/>
  <c r="HZ24" i="1"/>
  <c r="LJ24" i="1" s="1"/>
  <c r="JU24" i="1"/>
  <c r="AU27" i="2"/>
  <c r="AU26" i="2"/>
  <c r="J16" i="1"/>
  <c r="AU24" i="2"/>
  <c r="O24" i="2"/>
  <c r="IS10" i="2"/>
  <c r="JX26" i="1"/>
  <c r="JX7" i="1" s="1"/>
  <c r="HS28" i="2"/>
  <c r="IK4" i="2" s="1"/>
  <c r="F8" i="1"/>
  <c r="N28" i="2"/>
  <c r="AU22" i="2"/>
  <c r="AU14" i="2"/>
  <c r="AU5" i="2"/>
  <c r="AU25" i="2"/>
  <c r="AU21" i="2"/>
  <c r="O13" i="2"/>
  <c r="J14" i="1"/>
  <c r="AU23" i="2"/>
  <c r="IS21" i="2"/>
  <c r="JH26" i="1"/>
  <c r="HZ7" i="1"/>
  <c r="LJ7" i="1" s="1"/>
  <c r="JU7" i="1"/>
  <c r="KB27" i="1"/>
  <c r="Y8" i="1"/>
  <c r="LI26" i="1"/>
  <c r="LO6" i="1"/>
  <c r="GS9" i="1"/>
  <c r="HT27" i="1"/>
  <c r="IS26" i="2"/>
  <c r="O21" i="2"/>
  <c r="F25" i="1"/>
  <c r="CF23" i="1" s="1"/>
  <c r="CI23" i="1" s="1"/>
  <c r="CJ23" i="1" s="1"/>
  <c r="H25" i="1"/>
  <c r="O26" i="2"/>
  <c r="O27" i="2"/>
  <c r="HT8" i="2"/>
  <c r="HW8" i="2" s="1"/>
  <c r="IT8" i="2"/>
  <c r="GZ6" i="2"/>
  <c r="IS6" i="2" s="1"/>
  <c r="GQ28" i="2"/>
  <c r="FP31" i="1"/>
  <c r="FM36" i="1"/>
  <c r="CF14" i="1"/>
  <c r="CI14" i="1" s="1"/>
  <c r="CJ14" i="1" s="1"/>
  <c r="G15" i="1"/>
  <c r="CG14" i="1" s="1"/>
  <c r="CH14" i="1" s="1"/>
  <c r="AI9" i="1"/>
  <c r="KQ25" i="1"/>
  <c r="JU25" i="1"/>
  <c r="HZ25" i="1"/>
  <c r="LJ25" i="1" s="1"/>
  <c r="IG17" i="1"/>
  <c r="HP17" i="1"/>
  <c r="HR17" i="1" s="1"/>
  <c r="JU18" i="1"/>
  <c r="HZ18" i="1"/>
  <c r="LJ18" i="1" s="1"/>
  <c r="IM26" i="1"/>
  <c r="H24" i="1"/>
  <c r="I16" i="1" s="1"/>
  <c r="KB10" i="1"/>
  <c r="IG14" i="1"/>
  <c r="HP14" i="1"/>
  <c r="HR14" i="1" s="1"/>
  <c r="H8" i="1"/>
  <c r="JX4" i="1"/>
  <c r="JZ4" i="1" s="1"/>
  <c r="LA4" i="1"/>
  <c r="FQ3" i="1"/>
  <c r="GE3" i="1" s="1"/>
  <c r="GR3" i="1" s="1"/>
  <c r="EZ3" i="1"/>
  <c r="G16" i="1"/>
  <c r="CG15" i="1" s="1"/>
  <c r="CH15" i="1" s="1"/>
  <c r="CF15" i="1"/>
  <c r="CI15" i="1" s="1"/>
  <c r="CJ15" i="1" s="1"/>
  <c r="AJ9" i="1"/>
  <c r="O15" i="2"/>
  <c r="O17" i="2"/>
  <c r="JZ26" i="1"/>
  <c r="KQ23" i="1"/>
  <c r="HZ23" i="1"/>
  <c r="LJ23" i="1" s="1"/>
  <c r="JU23" i="1"/>
  <c r="HP20" i="1"/>
  <c r="HR20" i="1" s="1"/>
  <c r="IG20" i="1"/>
  <c r="KQ20" i="1"/>
  <c r="JF26" i="1"/>
  <c r="K25" i="1" s="1"/>
  <c r="JJ6" i="1"/>
  <c r="KJ7" i="1" s="1"/>
  <c r="GR9" i="1"/>
  <c r="GU7" i="1"/>
  <c r="HV27" i="1"/>
  <c r="K9" i="1"/>
  <c r="KB16" i="1"/>
  <c r="F10" i="1"/>
  <c r="O16" i="2"/>
  <c r="O10" i="2"/>
  <c r="O7" i="2"/>
  <c r="M7" i="2"/>
  <c r="IS25" i="1"/>
  <c r="II23" i="1"/>
  <c r="IU23" i="1"/>
  <c r="IG22" i="1"/>
  <c r="HP22" i="1"/>
  <c r="HR22" i="1" s="1"/>
  <c r="IQ18" i="1"/>
  <c r="IY18" i="1" s="1"/>
  <c r="KR28" i="1"/>
  <c r="IO27" i="1"/>
  <c r="K17" i="1"/>
  <c r="HG26" i="1"/>
  <c r="KB24" i="1"/>
  <c r="K24" i="1"/>
  <c r="IB4" i="2"/>
  <c r="KB18" i="1"/>
  <c r="KB9" i="1"/>
  <c r="KB15" i="1"/>
  <c r="IQ15" i="1"/>
  <c r="AA8" i="1"/>
  <c r="IS9" i="1"/>
  <c r="IW9" i="1"/>
  <c r="KB8" i="1"/>
  <c r="AU18" i="2"/>
  <c r="O9" i="2"/>
  <c r="IS18" i="2"/>
  <c r="AT28" i="2"/>
  <c r="AU4" i="2"/>
  <c r="HP19" i="1"/>
  <c r="HR19" i="1" s="1"/>
  <c r="IG19" i="1"/>
  <c r="KQ19" i="1"/>
  <c r="IG8" i="1"/>
  <c r="HP8" i="1"/>
  <c r="HR8" i="1" s="1"/>
  <c r="GQ7" i="1"/>
  <c r="GN9" i="1"/>
  <c r="KB14" i="1"/>
  <c r="JU9" i="1"/>
  <c r="HZ9" i="1"/>
  <c r="LJ9" i="1" s="1"/>
  <c r="IY7" i="1"/>
  <c r="J15" i="1"/>
  <c r="O8" i="2"/>
  <c r="IS25" i="2"/>
  <c r="IS23" i="1"/>
  <c r="KQ16" i="1"/>
  <c r="AA12" i="1"/>
  <c r="AA11" i="1"/>
  <c r="KQ13" i="1"/>
  <c r="FO36" i="1"/>
  <c r="IX26" i="1"/>
  <c r="AH13" i="1"/>
  <c r="JU11" i="1"/>
  <c r="HZ11" i="1"/>
  <c r="LJ11" i="1" s="1"/>
  <c r="AI8" i="1"/>
  <c r="KB7" i="1"/>
  <c r="F18" i="1"/>
  <c r="IS27" i="2"/>
  <c r="IV27" i="2" s="1"/>
  <c r="HP21" i="1"/>
  <c r="HR21" i="1" s="1"/>
  <c r="IG21" i="1"/>
  <c r="HP12" i="1"/>
  <c r="HR12" i="1" s="1"/>
  <c r="IG12" i="1"/>
  <c r="F17" i="1"/>
  <c r="HY26" i="1"/>
  <c r="IQ11" i="1"/>
  <c r="II11" i="1"/>
  <c r="IU11" i="1"/>
  <c r="KB6" i="1"/>
  <c r="H18" i="1"/>
  <c r="IQ9" i="1"/>
  <c r="IG16" i="1"/>
  <c r="HP16" i="1"/>
  <c r="HR16" i="1" s="1"/>
  <c r="HP13" i="1"/>
  <c r="HR13" i="1" s="1"/>
  <c r="IG13" i="1"/>
  <c r="AJ8" i="1"/>
  <c r="IK9" i="1"/>
  <c r="IY6" i="1"/>
  <c r="HS4" i="1"/>
  <c r="HU4" i="1" s="1"/>
  <c r="HW4" i="1" s="1"/>
  <c r="IV4" i="1"/>
  <c r="FE7" i="1"/>
  <c r="JG26" i="1"/>
  <c r="IS4" i="2"/>
  <c r="HZ15" i="1"/>
  <c r="LJ15" i="1" s="1"/>
  <c r="JU15" i="1"/>
  <c r="GT9" i="1"/>
  <c r="LL26" i="1"/>
  <c r="IG10" i="1"/>
  <c r="HP10" i="1"/>
  <c r="HR10" i="1" s="1"/>
  <c r="AI12" i="1"/>
  <c r="O18" i="2"/>
  <c r="IS5" i="2"/>
  <c r="IK15" i="1"/>
  <c r="IW15" i="1"/>
  <c r="II15" i="1"/>
  <c r="AI13" i="1"/>
  <c r="HZ6" i="1"/>
  <c r="LJ6" i="1" s="1"/>
  <c r="JU6" i="1"/>
  <c r="H19" i="1"/>
  <c r="F19" i="1"/>
  <c r="KB11" i="1"/>
  <c r="AJ12" i="1"/>
  <c r="AH8" i="1"/>
  <c r="Q12" i="9" l="1"/>
  <c r="P12" i="9"/>
  <c r="N22" i="9"/>
  <c r="O12" i="9"/>
  <c r="R12" i="9" s="1"/>
  <c r="MC12" i="9"/>
  <c r="MC25" i="9"/>
  <c r="C12" i="10"/>
  <c r="MD10" i="9"/>
  <c r="MN10" i="9"/>
  <c r="MO10" i="9" s="1"/>
  <c r="MP10" i="9" s="1"/>
  <c r="MF10" i="9"/>
  <c r="AA18" i="9"/>
  <c r="X19" i="9"/>
  <c r="X23" i="9" s="1"/>
  <c r="X20" i="9"/>
  <c r="X22" i="9"/>
  <c r="Y19" i="9"/>
  <c r="Y23" i="9" s="1"/>
  <c r="Y20" i="9"/>
  <c r="Y22" i="9"/>
  <c r="Z19" i="9"/>
  <c r="Z23" i="9" s="1"/>
  <c r="Z20" i="9"/>
  <c r="Z22" i="9"/>
  <c r="AZ6" i="10"/>
  <c r="GI6" i="10" s="1"/>
  <c r="FT6" i="10"/>
  <c r="FT7" i="10"/>
  <c r="AZ7" i="10"/>
  <c r="GI7" i="10" s="1"/>
  <c r="FT8" i="10"/>
  <c r="FT9" i="10"/>
  <c r="AZ9" i="10"/>
  <c r="GI9" i="10" s="1"/>
  <c r="FT10" i="10"/>
  <c r="AZ10" i="10"/>
  <c r="GI10" i="10" s="1"/>
  <c r="AZ11" i="10"/>
  <c r="GI11" i="10" s="1"/>
  <c r="FT11" i="10"/>
  <c r="FT12" i="10"/>
  <c r="AZ12" i="10"/>
  <c r="GI12" i="10" s="1"/>
  <c r="AZ13" i="10"/>
  <c r="GI13" i="10" s="1"/>
  <c r="FT13" i="10"/>
  <c r="AZ14" i="10"/>
  <c r="GI14" i="10" s="1"/>
  <c r="FT14" i="10"/>
  <c r="FT15" i="10"/>
  <c r="AZ15" i="10"/>
  <c r="GI15" i="10" s="1"/>
  <c r="FT16" i="10"/>
  <c r="AZ16" i="10"/>
  <c r="GI16" i="10" s="1"/>
  <c r="FT17" i="10"/>
  <c r="AZ17" i="10"/>
  <c r="GI17" i="10" s="1"/>
  <c r="FT18" i="10"/>
  <c r="AZ18" i="10"/>
  <c r="GI18" i="10" s="1"/>
  <c r="AZ19" i="10"/>
  <c r="GI19" i="10" s="1"/>
  <c r="FT19" i="10"/>
  <c r="AZ21" i="10"/>
  <c r="GI21" i="10" s="1"/>
  <c r="FT21" i="10"/>
  <c r="FT22" i="10"/>
  <c r="AZ22" i="10"/>
  <c r="GI22" i="10" s="1"/>
  <c r="FT23" i="10"/>
  <c r="AZ20" i="10"/>
  <c r="GI20" i="10" s="1"/>
  <c r="FT20" i="10"/>
  <c r="FT24" i="10"/>
  <c r="FT25" i="10"/>
  <c r="AZ25" i="10"/>
  <c r="GI25" i="10" s="1"/>
  <c r="FT26" i="10"/>
  <c r="AZ26" i="10"/>
  <c r="GI26" i="10" s="1"/>
  <c r="FT27" i="10"/>
  <c r="AX4" i="10"/>
  <c r="AW28" i="10"/>
  <c r="AZ5" i="10"/>
  <c r="GI5" i="10" s="1"/>
  <c r="FT5" i="10"/>
  <c r="C13" i="10"/>
  <c r="D11" i="10"/>
  <c r="FD4" i="10"/>
  <c r="FV7" i="10"/>
  <c r="CQ7" i="10"/>
  <c r="GK7" i="10" s="1"/>
  <c r="FV18" i="10"/>
  <c r="CQ18" i="10"/>
  <c r="GK18" i="10" s="1"/>
  <c r="CQ20" i="10"/>
  <c r="GK20" i="10" s="1"/>
  <c r="FV20" i="10"/>
  <c r="FV15" i="10"/>
  <c r="CQ15" i="10"/>
  <c r="GK15" i="10" s="1"/>
  <c r="CQ5" i="10"/>
  <c r="GK5" i="10" s="1"/>
  <c r="FV5" i="10"/>
  <c r="FV6" i="10"/>
  <c r="CQ6" i="10"/>
  <c r="GK6" i="10" s="1"/>
  <c r="CQ11" i="10"/>
  <c r="GK11" i="10" s="1"/>
  <c r="FV11" i="10"/>
  <c r="FV9" i="10"/>
  <c r="CQ9" i="10"/>
  <c r="GK9" i="10" s="1"/>
  <c r="FV16" i="10"/>
  <c r="CQ16" i="10"/>
  <c r="GK16" i="10" s="1"/>
  <c r="CQ22" i="10"/>
  <c r="GK22" i="10" s="1"/>
  <c r="FV22" i="10"/>
  <c r="FV27" i="10"/>
  <c r="FV12" i="10"/>
  <c r="CQ12" i="10"/>
  <c r="GK12" i="10" s="1"/>
  <c r="FV10" i="10"/>
  <c r="CQ10" i="10"/>
  <c r="GK10" i="10" s="1"/>
  <c r="FV23" i="10"/>
  <c r="CQ14" i="10"/>
  <c r="GK14" i="10" s="1"/>
  <c r="FV14" i="10"/>
  <c r="FV24" i="10"/>
  <c r="FV8" i="10"/>
  <c r="CQ13" i="10"/>
  <c r="GK13" i="10" s="1"/>
  <c r="FV13" i="10"/>
  <c r="CQ17" i="10"/>
  <c r="GK17" i="10" s="1"/>
  <c r="FV17" i="10"/>
  <c r="FV19" i="10"/>
  <c r="CQ19" i="10"/>
  <c r="GK19" i="10" s="1"/>
  <c r="CQ21" i="10"/>
  <c r="GK21" i="10" s="1"/>
  <c r="FV21" i="10"/>
  <c r="CQ25" i="10"/>
  <c r="GK25" i="10" s="1"/>
  <c r="FV25" i="10"/>
  <c r="CQ26" i="10"/>
  <c r="GK26" i="10" s="1"/>
  <c r="FV26" i="10"/>
  <c r="CO28" i="10"/>
  <c r="CQ4" i="10"/>
  <c r="GK4" i="10" s="1"/>
  <c r="FV4" i="10"/>
  <c r="FV28" i="10" s="1"/>
  <c r="GK28" i="10" s="1"/>
  <c r="FX28" i="10"/>
  <c r="GM28" i="10" s="1"/>
  <c r="MD10" i="7"/>
  <c r="MF10" i="7"/>
  <c r="MN10" i="7"/>
  <c r="MO10" i="7" s="1"/>
  <c r="MP10" i="7" s="1"/>
  <c r="C12" i="8"/>
  <c r="O12" i="7"/>
  <c r="R12" i="7" s="1"/>
  <c r="P12" i="7"/>
  <c r="Q12" i="7"/>
  <c r="MC12" i="7"/>
  <c r="N22" i="7"/>
  <c r="AA18" i="7"/>
  <c r="X22" i="7"/>
  <c r="X19" i="7"/>
  <c r="X23" i="7" s="1"/>
  <c r="X20" i="7"/>
  <c r="Y19" i="7"/>
  <c r="Y23" i="7" s="1"/>
  <c r="Y20" i="7"/>
  <c r="Y22" i="7"/>
  <c r="Z19" i="7"/>
  <c r="Z23" i="7" s="1"/>
  <c r="Z22" i="7"/>
  <c r="Z20" i="7"/>
  <c r="FT6" i="8"/>
  <c r="AZ6" i="8"/>
  <c r="GI6" i="8" s="1"/>
  <c r="FT7" i="8"/>
  <c r="AZ7" i="8"/>
  <c r="GI7" i="8" s="1"/>
  <c r="FT8" i="8"/>
  <c r="FT9" i="8"/>
  <c r="AZ9" i="8"/>
  <c r="GI9" i="8" s="1"/>
  <c r="FT10" i="8"/>
  <c r="AZ10" i="8"/>
  <c r="GI10" i="8" s="1"/>
  <c r="FT11" i="8"/>
  <c r="AZ11" i="8"/>
  <c r="GI11" i="8" s="1"/>
  <c r="FT13" i="8"/>
  <c r="AZ13" i="8"/>
  <c r="GI13" i="8" s="1"/>
  <c r="AZ14" i="8"/>
  <c r="GI14" i="8" s="1"/>
  <c r="FT14" i="8"/>
  <c r="FT15" i="8"/>
  <c r="AZ15" i="8"/>
  <c r="GI15" i="8" s="1"/>
  <c r="FT18" i="8"/>
  <c r="AZ18" i="8"/>
  <c r="GI18" i="8" s="1"/>
  <c r="FT19" i="8"/>
  <c r="AZ19" i="8"/>
  <c r="GI19" i="8" s="1"/>
  <c r="AZ20" i="8"/>
  <c r="GI20" i="8" s="1"/>
  <c r="FT20" i="8"/>
  <c r="FT16" i="8"/>
  <c r="AZ16" i="8"/>
  <c r="GI16" i="8" s="1"/>
  <c r="AZ21" i="8"/>
  <c r="GI21" i="8" s="1"/>
  <c r="FT21" i="8"/>
  <c r="AZ22" i="8"/>
  <c r="GI22" i="8" s="1"/>
  <c r="FT22" i="8"/>
  <c r="FT23" i="8"/>
  <c r="FT24" i="8"/>
  <c r="AZ5" i="8"/>
  <c r="GI5" i="8" s="1"/>
  <c r="FT5" i="8"/>
  <c r="AX4" i="8"/>
  <c r="AW28" i="8"/>
  <c r="FT17" i="8"/>
  <c r="AZ17" i="8"/>
  <c r="GI17" i="8" s="1"/>
  <c r="FT27" i="8"/>
  <c r="FT12" i="8"/>
  <c r="AZ12" i="8"/>
  <c r="GI12" i="8" s="1"/>
  <c r="FT25" i="8"/>
  <c r="AZ25" i="8"/>
  <c r="GI25" i="8" s="1"/>
  <c r="FT26" i="8"/>
  <c r="AZ26" i="8"/>
  <c r="GI26" i="8" s="1"/>
  <c r="C13" i="8"/>
  <c r="D11" i="8"/>
  <c r="FD4" i="8"/>
  <c r="EU4" i="8"/>
  <c r="EU5" i="8"/>
  <c r="EU6" i="8"/>
  <c r="EU13" i="8"/>
  <c r="EU17" i="8"/>
  <c r="EU20" i="8"/>
  <c r="EU25" i="8"/>
  <c r="EU26" i="8"/>
  <c r="EU27" i="8"/>
  <c r="EU11" i="8"/>
  <c r="EU14" i="8"/>
  <c r="EU16" i="8"/>
  <c r="EU18" i="8"/>
  <c r="EU21" i="8"/>
  <c r="EU23" i="8"/>
  <c r="EU24" i="8"/>
  <c r="EU10" i="8"/>
  <c r="EU15" i="8"/>
  <c r="EU19" i="8"/>
  <c r="EU12" i="8"/>
  <c r="EU22" i="8"/>
  <c r="EU7" i="8"/>
  <c r="EU8" i="8"/>
  <c r="EU9" i="8"/>
  <c r="FX20" i="8"/>
  <c r="EA20" i="8"/>
  <c r="GM20" i="8" s="1"/>
  <c r="FX11" i="8"/>
  <c r="EA11" i="8"/>
  <c r="GM11" i="8" s="1"/>
  <c r="FX16" i="8"/>
  <c r="EA16" i="8"/>
  <c r="GM16" i="8" s="1"/>
  <c r="EA4" i="8"/>
  <c r="GM4" i="8" s="1"/>
  <c r="FX4" i="8"/>
  <c r="FX17" i="8"/>
  <c r="EA17" i="8"/>
  <c r="GM17" i="8" s="1"/>
  <c r="FX6" i="8"/>
  <c r="EA6" i="8"/>
  <c r="GM6" i="8" s="1"/>
  <c r="FX18" i="8"/>
  <c r="EA18" i="8"/>
  <c r="GM18" i="8" s="1"/>
  <c r="FX22" i="8"/>
  <c r="EA22" i="8"/>
  <c r="GM22" i="8" s="1"/>
  <c r="FX25" i="8"/>
  <c r="EA25" i="8"/>
  <c r="GM25" i="8" s="1"/>
  <c r="FX26" i="8"/>
  <c r="EA26" i="8"/>
  <c r="GM26" i="8" s="1"/>
  <c r="EA15" i="8"/>
  <c r="GM15" i="8" s="1"/>
  <c r="FX15" i="8"/>
  <c r="FX19" i="8"/>
  <c r="EA19" i="8"/>
  <c r="GM19" i="8" s="1"/>
  <c r="EA21" i="8"/>
  <c r="GM21" i="8" s="1"/>
  <c r="FX21" i="8"/>
  <c r="FX5" i="8"/>
  <c r="EA5" i="8"/>
  <c r="GM5" i="8" s="1"/>
  <c r="EA7" i="8"/>
  <c r="GM7" i="8" s="1"/>
  <c r="FX7" i="8"/>
  <c r="EA9" i="8"/>
  <c r="GM9" i="8" s="1"/>
  <c r="FX9" i="8"/>
  <c r="EA10" i="8"/>
  <c r="GM10" i="8" s="1"/>
  <c r="FX10" i="8"/>
  <c r="EA13" i="8"/>
  <c r="GM13" i="8" s="1"/>
  <c r="FX13" i="8"/>
  <c r="FX14" i="8"/>
  <c r="EA14" i="8"/>
  <c r="GM14" i="8" s="1"/>
  <c r="EA12" i="8"/>
  <c r="GM12" i="8" s="1"/>
  <c r="FX12" i="8"/>
  <c r="MD25" i="7"/>
  <c r="MC28" i="7"/>
  <c r="MN25" i="7"/>
  <c r="CD9" i="8"/>
  <c r="CN28" i="8" s="1"/>
  <c r="CC9" i="8"/>
  <c r="CL28" i="8" s="1"/>
  <c r="MG23" i="7"/>
  <c r="MF24" i="7"/>
  <c r="AZ4" i="6"/>
  <c r="GI4" i="6" s="1"/>
  <c r="FT4" i="6"/>
  <c r="AX28" i="6"/>
  <c r="AY4" i="6" s="1"/>
  <c r="BN4" i="6" s="1"/>
  <c r="AA22" i="5"/>
  <c r="AA20" i="5"/>
  <c r="AA19" i="5"/>
  <c r="AA23" i="5" s="1"/>
  <c r="EU4" i="6"/>
  <c r="EU8" i="6"/>
  <c r="EU15" i="6"/>
  <c r="EU24" i="6"/>
  <c r="EU19" i="6"/>
  <c r="EU10" i="6"/>
  <c r="EU7" i="6"/>
  <c r="EU20" i="6"/>
  <c r="EU27" i="6"/>
  <c r="EU17" i="6"/>
  <c r="EU18" i="6"/>
  <c r="EU12" i="6"/>
  <c r="EU21" i="6"/>
  <c r="EU16" i="6"/>
  <c r="EU14" i="6"/>
  <c r="EU9" i="6"/>
  <c r="EU11" i="6"/>
  <c r="EU13" i="6"/>
  <c r="EU26" i="6"/>
  <c r="EU23" i="6"/>
  <c r="EU22" i="6"/>
  <c r="EU25" i="6"/>
  <c r="EU6" i="6"/>
  <c r="EU5" i="6"/>
  <c r="FX4" i="6"/>
  <c r="EA4" i="6"/>
  <c r="GM4" i="6" s="1"/>
  <c r="EA12" i="6"/>
  <c r="GM12" i="6" s="1"/>
  <c r="FX12" i="6"/>
  <c r="FX5" i="6"/>
  <c r="EA5" i="6"/>
  <c r="GM5" i="6" s="1"/>
  <c r="FX6" i="6"/>
  <c r="EA6" i="6"/>
  <c r="GM6" i="6" s="1"/>
  <c r="FX10" i="6"/>
  <c r="EA10" i="6"/>
  <c r="GM10" i="6" s="1"/>
  <c r="FX11" i="6"/>
  <c r="EA11" i="6"/>
  <c r="GM11" i="6" s="1"/>
  <c r="FX18" i="6"/>
  <c r="EA18" i="6"/>
  <c r="GM18" i="6" s="1"/>
  <c r="FX16" i="6"/>
  <c r="EA16" i="6"/>
  <c r="GM16" i="6" s="1"/>
  <c r="FX26" i="6"/>
  <c r="EA26" i="6"/>
  <c r="GM26" i="6" s="1"/>
  <c r="FX19" i="6"/>
  <c r="EA19" i="6"/>
  <c r="GM19" i="6" s="1"/>
  <c r="FX14" i="6"/>
  <c r="EA14" i="6"/>
  <c r="GM14" i="6" s="1"/>
  <c r="FX7" i="6"/>
  <c r="EA7" i="6"/>
  <c r="GM7" i="6" s="1"/>
  <c r="FX21" i="6"/>
  <c r="EA21" i="6"/>
  <c r="GM21" i="6" s="1"/>
  <c r="FX17" i="6"/>
  <c r="EA17" i="6"/>
  <c r="GM17" i="6" s="1"/>
  <c r="FX15" i="6"/>
  <c r="EA15" i="6"/>
  <c r="GM15" i="6" s="1"/>
  <c r="FX9" i="6"/>
  <c r="EA9" i="6"/>
  <c r="GM9" i="6" s="1"/>
  <c r="FX25" i="6"/>
  <c r="EA25" i="6"/>
  <c r="GM25" i="6" s="1"/>
  <c r="FX22" i="6"/>
  <c r="EA22" i="6"/>
  <c r="GM22" i="6" s="1"/>
  <c r="FX13" i="6"/>
  <c r="EA13" i="6"/>
  <c r="GM13" i="6" s="1"/>
  <c r="FX20" i="6"/>
  <c r="EA20" i="6"/>
  <c r="GM20" i="6" s="1"/>
  <c r="O12" i="5"/>
  <c r="R12" i="5" s="1"/>
  <c r="P12" i="5"/>
  <c r="Q12" i="5"/>
  <c r="MC12" i="5"/>
  <c r="N22" i="5"/>
  <c r="MC25" i="5"/>
  <c r="C12" i="6"/>
  <c r="MN10" i="5"/>
  <c r="MO10" i="5" s="1"/>
  <c r="MP10" i="5" s="1"/>
  <c r="MF10" i="5"/>
  <c r="MG10" i="5" s="1"/>
  <c r="MD10" i="5"/>
  <c r="CO4" i="6"/>
  <c r="CO7" i="6"/>
  <c r="CO11" i="6"/>
  <c r="CO23" i="6"/>
  <c r="CO15" i="6"/>
  <c r="CO14" i="6"/>
  <c r="CO17" i="6"/>
  <c r="CO24" i="6"/>
  <c r="CO6" i="6"/>
  <c r="CO9" i="6"/>
  <c r="CO8" i="6"/>
  <c r="CO10" i="6"/>
  <c r="CO18" i="6"/>
  <c r="CO5" i="6"/>
  <c r="CO26" i="6"/>
  <c r="CO19" i="6"/>
  <c r="CO27" i="6"/>
  <c r="CO22" i="6"/>
  <c r="CO12" i="6"/>
  <c r="CO16" i="6"/>
  <c r="CO13" i="6"/>
  <c r="CO25" i="6"/>
  <c r="CO21" i="6"/>
  <c r="CO20" i="6"/>
  <c r="MG23" i="5"/>
  <c r="MF25" i="5"/>
  <c r="MF24" i="5"/>
  <c r="Q12" i="3"/>
  <c r="N22" i="3"/>
  <c r="O12" i="3"/>
  <c r="R12" i="3" s="1"/>
  <c r="MC12" i="3"/>
  <c r="P12" i="3"/>
  <c r="MC25" i="3"/>
  <c r="C12" i="4"/>
  <c r="MD10" i="3"/>
  <c r="MF10" i="3"/>
  <c r="MN10" i="3"/>
  <c r="MO10" i="3" s="1"/>
  <c r="MP10" i="3" s="1"/>
  <c r="AA18" i="3"/>
  <c r="X19" i="3"/>
  <c r="X23" i="3" s="1"/>
  <c r="X20" i="3"/>
  <c r="X22" i="3"/>
  <c r="Y22" i="3"/>
  <c r="Y19" i="3"/>
  <c r="Y23" i="3" s="1"/>
  <c r="Y20" i="3"/>
  <c r="Z19" i="3"/>
  <c r="Z23" i="3" s="1"/>
  <c r="Z20" i="3"/>
  <c r="Z22" i="3"/>
  <c r="AZ10" i="4"/>
  <c r="GI10" i="4" s="1"/>
  <c r="FT10" i="4"/>
  <c r="AZ11" i="4"/>
  <c r="GI11" i="4" s="1"/>
  <c r="FT11" i="4"/>
  <c r="FT12" i="4"/>
  <c r="AZ12" i="4"/>
  <c r="GI12" i="4" s="1"/>
  <c r="AZ13" i="4"/>
  <c r="GI13" i="4" s="1"/>
  <c r="FT13" i="4"/>
  <c r="AZ14" i="4"/>
  <c r="GI14" i="4" s="1"/>
  <c r="FT14" i="4"/>
  <c r="FT16" i="4"/>
  <c r="AZ16" i="4"/>
  <c r="GI16" i="4" s="1"/>
  <c r="AZ17" i="4"/>
  <c r="GI17" i="4" s="1"/>
  <c r="FT17" i="4"/>
  <c r="FT18" i="4"/>
  <c r="AZ18" i="4"/>
  <c r="GI18" i="4" s="1"/>
  <c r="FT8" i="4"/>
  <c r="FT19" i="4"/>
  <c r="AZ19" i="4"/>
  <c r="GI19" i="4" s="1"/>
  <c r="AZ20" i="4"/>
  <c r="GI20" i="4" s="1"/>
  <c r="FT20" i="4"/>
  <c r="AZ6" i="4"/>
  <c r="GI6" i="4" s="1"/>
  <c r="FT6" i="4"/>
  <c r="AZ7" i="4"/>
  <c r="GI7" i="4" s="1"/>
  <c r="FT7" i="4"/>
  <c r="AZ21" i="4"/>
  <c r="GI21" i="4" s="1"/>
  <c r="FT21" i="4"/>
  <c r="FT22" i="4"/>
  <c r="AZ22" i="4"/>
  <c r="GI22" i="4" s="1"/>
  <c r="FT23" i="4"/>
  <c r="FT24" i="4"/>
  <c r="FT25" i="4"/>
  <c r="AZ25" i="4"/>
  <c r="GI25" i="4" s="1"/>
  <c r="AZ26" i="4"/>
  <c r="GI26" i="4" s="1"/>
  <c r="FT26" i="4"/>
  <c r="FT27" i="4"/>
  <c r="AX4" i="4"/>
  <c r="AW28" i="4"/>
  <c r="AZ5" i="4"/>
  <c r="GI5" i="4" s="1"/>
  <c r="FT5" i="4"/>
  <c r="AZ9" i="4"/>
  <c r="GI9" i="4" s="1"/>
  <c r="FT9" i="4"/>
  <c r="AZ15" i="4"/>
  <c r="GI15" i="4" s="1"/>
  <c r="FT15" i="4"/>
  <c r="C13" i="4"/>
  <c r="D11" i="4" s="1"/>
  <c r="FD4" i="4"/>
  <c r="FX4" i="4"/>
  <c r="EA4" i="4"/>
  <c r="GM4" i="4" s="1"/>
  <c r="EA5" i="4"/>
  <c r="GM5" i="4" s="1"/>
  <c r="FX5" i="4"/>
  <c r="EA6" i="4"/>
  <c r="GM6" i="4" s="1"/>
  <c r="FX6" i="4"/>
  <c r="EA11" i="4"/>
  <c r="GM11" i="4" s="1"/>
  <c r="FX11" i="4"/>
  <c r="FX17" i="4"/>
  <c r="EA17" i="4"/>
  <c r="GM17" i="4" s="1"/>
  <c r="EA15" i="4"/>
  <c r="GM15" i="4" s="1"/>
  <c r="FX15" i="4"/>
  <c r="EA10" i="4"/>
  <c r="GM10" i="4" s="1"/>
  <c r="FX10" i="4"/>
  <c r="EA9" i="4"/>
  <c r="GM9" i="4" s="1"/>
  <c r="FX9" i="4"/>
  <c r="EA21" i="4"/>
  <c r="GM21" i="4" s="1"/>
  <c r="FX21" i="4"/>
  <c r="EA26" i="4"/>
  <c r="GM26" i="4" s="1"/>
  <c r="FX26" i="4"/>
  <c r="FX25" i="4"/>
  <c r="EA25" i="4"/>
  <c r="GM25" i="4" s="1"/>
  <c r="EA22" i="4"/>
  <c r="GM22" i="4" s="1"/>
  <c r="FX22" i="4"/>
  <c r="FX20" i="4"/>
  <c r="EA20" i="4"/>
  <c r="GM20" i="4" s="1"/>
  <c r="EA19" i="4"/>
  <c r="GM19" i="4" s="1"/>
  <c r="FX19" i="4"/>
  <c r="EA18" i="4"/>
  <c r="GM18" i="4" s="1"/>
  <c r="FX18" i="4"/>
  <c r="FX16" i="4"/>
  <c r="EA16" i="4"/>
  <c r="GM16" i="4" s="1"/>
  <c r="EA14" i="4"/>
  <c r="GM14" i="4" s="1"/>
  <c r="FX14" i="4"/>
  <c r="EA13" i="4"/>
  <c r="GM13" i="4" s="1"/>
  <c r="FX13" i="4"/>
  <c r="EA12" i="4"/>
  <c r="GM12" i="4" s="1"/>
  <c r="FX12" i="4"/>
  <c r="EA7" i="4"/>
  <c r="GM7" i="4" s="1"/>
  <c r="FX7" i="4"/>
  <c r="EU4" i="4"/>
  <c r="EU21" i="4"/>
  <c r="EU26" i="4"/>
  <c r="EU27" i="4"/>
  <c r="EU5" i="4"/>
  <c r="EU6" i="4"/>
  <c r="EU8" i="4"/>
  <c r="EU9" i="4"/>
  <c r="EU10" i="4"/>
  <c r="EU11" i="4"/>
  <c r="EU12" i="4"/>
  <c r="EU13" i="4"/>
  <c r="EU14" i="4"/>
  <c r="EU15" i="4"/>
  <c r="EU16" i="4"/>
  <c r="EU17" i="4"/>
  <c r="EU18" i="4"/>
  <c r="EU7" i="4"/>
  <c r="EU20" i="4"/>
  <c r="EU23" i="4"/>
  <c r="EU24" i="4"/>
  <c r="EU19" i="4"/>
  <c r="EU22" i="4"/>
  <c r="EU25" i="4"/>
  <c r="CQ7" i="4"/>
  <c r="GK7" i="4" s="1"/>
  <c r="FV7" i="4"/>
  <c r="CP12" i="4"/>
  <c r="CQ12" i="4"/>
  <c r="GK12" i="4" s="1"/>
  <c r="FV12" i="4"/>
  <c r="CP13" i="4"/>
  <c r="CQ13" i="4"/>
  <c r="GK13" i="4" s="1"/>
  <c r="FV13" i="4"/>
  <c r="CP14" i="4"/>
  <c r="CQ14" i="4"/>
  <c r="GK14" i="4" s="1"/>
  <c r="FV14" i="4"/>
  <c r="CQ16" i="4"/>
  <c r="GK16" i="4" s="1"/>
  <c r="FV16" i="4"/>
  <c r="CQ18" i="4"/>
  <c r="GK18" i="4" s="1"/>
  <c r="FV18" i="4"/>
  <c r="CP19" i="4"/>
  <c r="CQ19" i="4"/>
  <c r="GK19" i="4" s="1"/>
  <c r="FV19" i="4"/>
  <c r="CP20" i="4"/>
  <c r="CQ20" i="4"/>
  <c r="GK20" i="4" s="1"/>
  <c r="FV20" i="4"/>
  <c r="CP22" i="4"/>
  <c r="CQ22" i="4"/>
  <c r="GK22" i="4" s="1"/>
  <c r="FV22" i="4"/>
  <c r="CP23" i="4"/>
  <c r="FV23" i="4"/>
  <c r="CP24" i="4"/>
  <c r="FV24" i="4"/>
  <c r="CP25" i="4"/>
  <c r="CQ25" i="4"/>
  <c r="GK25" i="4" s="1"/>
  <c r="FV25" i="4"/>
  <c r="CP26" i="4"/>
  <c r="FV26" i="4"/>
  <c r="CQ26" i="4"/>
  <c r="GK26" i="4" s="1"/>
  <c r="CP27" i="4"/>
  <c r="FV27" i="4"/>
  <c r="CP8" i="4"/>
  <c r="FV8" i="4"/>
  <c r="CP9" i="4"/>
  <c r="CQ9" i="4"/>
  <c r="GK9" i="4" s="1"/>
  <c r="FV9" i="4"/>
  <c r="CP10" i="4"/>
  <c r="CQ10" i="4"/>
  <c r="GK10" i="4" s="1"/>
  <c r="FV10" i="4"/>
  <c r="CP15" i="4"/>
  <c r="CQ15" i="4"/>
  <c r="GK15" i="4" s="1"/>
  <c r="FV15" i="4"/>
  <c r="CQ17" i="4"/>
  <c r="GK17" i="4" s="1"/>
  <c r="FV17" i="4"/>
  <c r="CQ11" i="4"/>
  <c r="GK11" i="4" s="1"/>
  <c r="FV11" i="4"/>
  <c r="FV6" i="4"/>
  <c r="CQ6" i="4"/>
  <c r="GK6" i="4" s="1"/>
  <c r="CQ5" i="4"/>
  <c r="GK5" i="4" s="1"/>
  <c r="FV5" i="4"/>
  <c r="CQ21" i="4"/>
  <c r="GK21" i="4" s="1"/>
  <c r="FV21" i="4"/>
  <c r="CO28" i="4"/>
  <c r="CP4" i="4"/>
  <c r="FV4" i="4"/>
  <c r="CQ4" i="4"/>
  <c r="GK4" i="4" s="1"/>
  <c r="MG23" i="3"/>
  <c r="MF24" i="3"/>
  <c r="M9" i="2"/>
  <c r="JI26" i="1"/>
  <c r="JK26" i="1" s="1"/>
  <c r="JZ14" i="1"/>
  <c r="M10" i="2"/>
  <c r="M16" i="2"/>
  <c r="M15" i="2"/>
  <c r="M18" i="2"/>
  <c r="CK18" i="2" s="1"/>
  <c r="M21" i="2"/>
  <c r="DN21" i="2" s="1"/>
  <c r="M8" i="2"/>
  <c r="BP8" i="2" s="1"/>
  <c r="M27" i="2"/>
  <c r="ET27" i="2" s="1"/>
  <c r="M17" i="2"/>
  <c r="ET17" i="2" s="1"/>
  <c r="M26" i="2"/>
  <c r="CK26" i="2" s="1"/>
  <c r="JX9" i="1"/>
  <c r="AH12" i="1"/>
  <c r="JZ18" i="1"/>
  <c r="I17" i="1"/>
  <c r="KS27" i="1"/>
  <c r="I15" i="1"/>
  <c r="HR26" i="1"/>
  <c r="JZ6" i="1"/>
  <c r="JZ20" i="1"/>
  <c r="JX24" i="1"/>
  <c r="JX13" i="1"/>
  <c r="IZ24" i="1"/>
  <c r="JX14" i="1"/>
  <c r="LB25" i="1"/>
  <c r="GZ28" i="2"/>
  <c r="FD6" i="1"/>
  <c r="FF6" i="1" s="1"/>
  <c r="O28" i="2"/>
  <c r="P19" i="2" s="1"/>
  <c r="FF7" i="1"/>
  <c r="H21" i="1"/>
  <c r="IY9" i="1"/>
  <c r="LB10" i="1" s="1"/>
  <c r="FD8" i="1"/>
  <c r="HV8" i="2"/>
  <c r="FE8" i="1"/>
  <c r="I21" i="1"/>
  <c r="KC6" i="1"/>
  <c r="J8" i="1"/>
  <c r="I8" i="1"/>
  <c r="M8" i="1"/>
  <c r="KC18" i="1"/>
  <c r="KC15" i="1"/>
  <c r="CF16" i="1"/>
  <c r="CI16" i="1" s="1"/>
  <c r="CJ16" i="1" s="1"/>
  <c r="G17" i="1"/>
  <c r="CG16" i="1" s="1"/>
  <c r="CH16" i="1" s="1"/>
  <c r="LB8" i="1"/>
  <c r="IZ7" i="1"/>
  <c r="LM7" i="1"/>
  <c r="IS19" i="1"/>
  <c r="IK19" i="1"/>
  <c r="IW19" i="1"/>
  <c r="II19" i="1"/>
  <c r="IQ19" i="1"/>
  <c r="IU19" i="1"/>
  <c r="BP7" i="2"/>
  <c r="CK7" i="2"/>
  <c r="DN7" i="2"/>
  <c r="ET7" i="2"/>
  <c r="L9" i="1"/>
  <c r="K7" i="1"/>
  <c r="IW20" i="1"/>
  <c r="IU20" i="1"/>
  <c r="II20" i="1"/>
  <c r="IK20" i="1"/>
  <c r="IS20" i="1"/>
  <c r="IQ20" i="1"/>
  <c r="HZ17" i="1"/>
  <c r="LJ17" i="1" s="1"/>
  <c r="JU17" i="1"/>
  <c r="KC7" i="1"/>
  <c r="M19" i="2"/>
  <c r="M25" i="2"/>
  <c r="M20" i="2"/>
  <c r="M4" i="2"/>
  <c r="M6" i="2"/>
  <c r="M23" i="2"/>
  <c r="M14" i="2"/>
  <c r="M5" i="2"/>
  <c r="M11" i="2"/>
  <c r="M22" i="2"/>
  <c r="M12" i="2"/>
  <c r="G8" i="1"/>
  <c r="CG8" i="1" s="1"/>
  <c r="CH8" i="1" s="1"/>
  <c r="CF8" i="1"/>
  <c r="CI8" i="1" s="1"/>
  <c r="GQ9" i="1"/>
  <c r="JU22" i="1"/>
  <c r="HZ22" i="1"/>
  <c r="LJ22" i="1" s="1"/>
  <c r="KC23" i="1"/>
  <c r="IW14" i="1"/>
  <c r="II14" i="1"/>
  <c r="IU14" i="1"/>
  <c r="IQ14" i="1"/>
  <c r="IS14" i="1"/>
  <c r="IK14" i="1"/>
  <c r="KC24" i="1"/>
  <c r="J18" i="1"/>
  <c r="I18" i="1"/>
  <c r="HZ19" i="1"/>
  <c r="LJ19" i="1" s="1"/>
  <c r="JU19" i="1"/>
  <c r="IU17" i="1"/>
  <c r="II17" i="1"/>
  <c r="IK17" i="1"/>
  <c r="IQ17" i="1"/>
  <c r="IW17" i="1"/>
  <c r="IS17" i="1"/>
  <c r="JJ26" i="1"/>
  <c r="KJ27" i="1" s="1"/>
  <c r="MC35" i="1"/>
  <c r="N25" i="1"/>
  <c r="II12" i="1"/>
  <c r="IS12" i="1"/>
  <c r="IK12" i="1"/>
  <c r="IW12" i="1"/>
  <c r="IU12" i="1"/>
  <c r="IQ12" i="1"/>
  <c r="F7" i="1"/>
  <c r="IU22" i="1"/>
  <c r="IS22" i="1"/>
  <c r="IW22" i="1"/>
  <c r="II22" i="1"/>
  <c r="IK22" i="1"/>
  <c r="IQ22" i="1"/>
  <c r="LP24" i="1"/>
  <c r="LM9" i="1"/>
  <c r="LP9" i="1" s="1"/>
  <c r="IZ9" i="1"/>
  <c r="LP7" i="1"/>
  <c r="G18" i="1"/>
  <c r="CF17" i="1"/>
  <c r="CI17" i="1" s="1"/>
  <c r="CJ17" i="1" s="1"/>
  <c r="IU13" i="1"/>
  <c r="IS13" i="1"/>
  <c r="IW13" i="1"/>
  <c r="IQ13" i="1"/>
  <c r="II13" i="1"/>
  <c r="IY11" i="1"/>
  <c r="HZ12" i="1"/>
  <c r="LJ12" i="1" s="1"/>
  <c r="JU12" i="1"/>
  <c r="H7" i="1"/>
  <c r="KC25" i="1"/>
  <c r="FP36" i="1"/>
  <c r="JX27" i="1"/>
  <c r="N8" i="1"/>
  <c r="JX18" i="1"/>
  <c r="JX16" i="1"/>
  <c r="JX25" i="1"/>
  <c r="JX15" i="1"/>
  <c r="JX19" i="1"/>
  <c r="JX22" i="1"/>
  <c r="JX21" i="1"/>
  <c r="JX12" i="1"/>
  <c r="JX17" i="1"/>
  <c r="JX20" i="1"/>
  <c r="JX8" i="1"/>
  <c r="JX6" i="1"/>
  <c r="JX11" i="1"/>
  <c r="JX23" i="1"/>
  <c r="JX10" i="1"/>
  <c r="JU14" i="1"/>
  <c r="HZ14" i="1"/>
  <c r="LJ14" i="1" s="1"/>
  <c r="IY15" i="1"/>
  <c r="HZ13" i="1"/>
  <c r="LJ13" i="1" s="1"/>
  <c r="JU13" i="1"/>
  <c r="IQ21" i="1"/>
  <c r="IW21" i="1"/>
  <c r="IU21" i="1"/>
  <c r="IS21" i="1"/>
  <c r="II21" i="1"/>
  <c r="IK21" i="1"/>
  <c r="HZ8" i="1"/>
  <c r="LJ8" i="1" s="1"/>
  <c r="JU8" i="1"/>
  <c r="L11" i="1"/>
  <c r="L8" i="1"/>
  <c r="IY23" i="1"/>
  <c r="GU9" i="1"/>
  <c r="JU10" i="1"/>
  <c r="HZ10" i="1"/>
  <c r="LJ10" i="1" s="1"/>
  <c r="HZ16" i="1"/>
  <c r="LJ16" i="1" s="1"/>
  <c r="JU16" i="1"/>
  <c r="JU21" i="1"/>
  <c r="HZ21" i="1"/>
  <c r="LJ21" i="1" s="1"/>
  <c r="IS8" i="1"/>
  <c r="IW8" i="1"/>
  <c r="IQ8" i="1"/>
  <c r="IU8" i="1"/>
  <c r="II8" i="1"/>
  <c r="JZ27" i="1"/>
  <c r="N9" i="1"/>
  <c r="JZ9" i="1"/>
  <c r="JZ8" i="1"/>
  <c r="JZ12" i="1"/>
  <c r="JZ16" i="1"/>
  <c r="JZ15" i="1"/>
  <c r="JZ17" i="1"/>
  <c r="JZ10" i="1"/>
  <c r="JZ11" i="1"/>
  <c r="JZ7" i="1"/>
  <c r="JZ22" i="1"/>
  <c r="JZ19" i="1"/>
  <c r="JZ23" i="1"/>
  <c r="JZ21" i="1"/>
  <c r="JZ24" i="1"/>
  <c r="JZ25" i="1"/>
  <c r="JZ13" i="1"/>
  <c r="I20" i="1"/>
  <c r="Y11" i="1"/>
  <c r="I11" i="1"/>
  <c r="X11" i="1"/>
  <c r="Z11" i="1"/>
  <c r="LO26" i="1"/>
  <c r="HR27" i="1"/>
  <c r="HZ26" i="1"/>
  <c r="K10" i="1"/>
  <c r="JU20" i="1"/>
  <c r="HZ20" i="1"/>
  <c r="LJ20" i="1" s="1"/>
  <c r="G19" i="1"/>
  <c r="KC11" i="1"/>
  <c r="I10" i="1"/>
  <c r="J10" i="1"/>
  <c r="LB19" i="1"/>
  <c r="LM18" i="1"/>
  <c r="LP18" i="1" s="1"/>
  <c r="IZ18" i="1"/>
  <c r="M17" i="1"/>
  <c r="L17" i="1"/>
  <c r="KP28" i="1"/>
  <c r="IM27" i="1"/>
  <c r="AJ15" i="1" s="1"/>
  <c r="AJ17" i="1" s="1"/>
  <c r="K16" i="1"/>
  <c r="IQ16" i="1"/>
  <c r="IK16" i="1"/>
  <c r="II16" i="1"/>
  <c r="IU16" i="1"/>
  <c r="IW16" i="1"/>
  <c r="IS16" i="1"/>
  <c r="IG26" i="1"/>
  <c r="HP26" i="1"/>
  <c r="KS28" i="1"/>
  <c r="N17" i="1"/>
  <c r="KC9" i="1"/>
  <c r="AU28" i="2"/>
  <c r="AL7" i="2" s="1"/>
  <c r="AS28" i="2" s="1"/>
  <c r="J17" i="1"/>
  <c r="CF10" i="1"/>
  <c r="CI10" i="1" s="1"/>
  <c r="CJ10" i="1" s="1"/>
  <c r="G10" i="1"/>
  <c r="CG10" i="1" s="1"/>
  <c r="CH10" i="1" s="1"/>
  <c r="IY8" i="2"/>
  <c r="JB8" i="2" s="1"/>
  <c r="I14" i="1"/>
  <c r="IS28" i="2"/>
  <c r="IU10" i="1"/>
  <c r="IQ10" i="1"/>
  <c r="II10" i="1"/>
  <c r="IS10" i="1"/>
  <c r="IW10" i="1"/>
  <c r="IK10" i="1"/>
  <c r="KQ7" i="1"/>
  <c r="KQ27" i="1" s="1"/>
  <c r="J19" i="1"/>
  <c r="I19" i="1"/>
  <c r="IZ25" i="1"/>
  <c r="LB26" i="1"/>
  <c r="LM25" i="1"/>
  <c r="LP25" i="1" s="1"/>
  <c r="LB7" i="1"/>
  <c r="IZ6" i="1"/>
  <c r="LM6" i="1"/>
  <c r="M13" i="2"/>
  <c r="M24" i="2"/>
  <c r="P22" i="9" l="1"/>
  <c r="O22" i="9"/>
  <c r="R22" i="9" s="1"/>
  <c r="Q22" i="9"/>
  <c r="MD12" i="9"/>
  <c r="MN12" i="9"/>
  <c r="MO12" i="9" s="1"/>
  <c r="MP12" i="9" s="1"/>
  <c r="MC28" i="9"/>
  <c r="MN25" i="9"/>
  <c r="MD25" i="9"/>
  <c r="D12" i="10"/>
  <c r="FD5" i="10"/>
  <c r="FD6" i="10" s="1"/>
  <c r="FL28" i="10" s="1"/>
  <c r="FM28" i="10" s="1"/>
  <c r="MF25" i="9"/>
  <c r="MG10" i="9"/>
  <c r="AA19" i="9"/>
  <c r="AA23" i="9" s="1"/>
  <c r="AA20" i="9"/>
  <c r="AA22" i="9"/>
  <c r="AX28" i="10"/>
  <c r="AY4" i="10" s="1"/>
  <c r="BN4" i="10" s="1"/>
  <c r="AZ4" i="10"/>
  <c r="GI4" i="10" s="1"/>
  <c r="FT4" i="10"/>
  <c r="D7" i="10"/>
  <c r="D6" i="10"/>
  <c r="D5" i="10"/>
  <c r="D8" i="10"/>
  <c r="D9" i="10"/>
  <c r="D10" i="10"/>
  <c r="D4" i="10"/>
  <c r="D13" i="10" s="1"/>
  <c r="CQ28" i="10"/>
  <c r="CP9" i="10"/>
  <c r="CP26" i="10"/>
  <c r="CP20" i="10"/>
  <c r="CP5" i="10"/>
  <c r="CP6" i="10"/>
  <c r="CP11" i="10"/>
  <c r="CP12" i="10"/>
  <c r="CP25" i="10"/>
  <c r="CP7" i="10"/>
  <c r="CP24" i="10"/>
  <c r="CP13" i="10"/>
  <c r="CP18" i="10"/>
  <c r="CP16" i="10"/>
  <c r="CP14" i="10"/>
  <c r="CP8" i="10"/>
  <c r="CP19" i="10"/>
  <c r="CP21" i="10"/>
  <c r="CP4" i="10"/>
  <c r="CP15" i="10"/>
  <c r="CP22" i="10"/>
  <c r="CP27" i="10"/>
  <c r="CP10" i="10"/>
  <c r="CP23" i="10"/>
  <c r="CP17" i="10"/>
  <c r="FD5" i="8"/>
  <c r="FD6" i="8" s="1"/>
  <c r="FL28" i="8" s="1"/>
  <c r="FM28" i="8" s="1"/>
  <c r="D12" i="8"/>
  <c r="MN12" i="7"/>
  <c r="MO12" i="7" s="1"/>
  <c r="MP12" i="7" s="1"/>
  <c r="MD12" i="7"/>
  <c r="O22" i="7"/>
  <c r="R22" i="7" s="1"/>
  <c r="P22" i="7"/>
  <c r="Q22" i="7"/>
  <c r="AA19" i="7"/>
  <c r="AA23" i="7" s="1"/>
  <c r="AA20" i="7"/>
  <c r="AA22" i="7"/>
  <c r="AX28" i="8"/>
  <c r="AY4" i="8" s="1"/>
  <c r="BN4" i="8" s="1"/>
  <c r="AZ4" i="8"/>
  <c r="GI4" i="8" s="1"/>
  <c r="FT4" i="8"/>
  <c r="D6" i="8"/>
  <c r="D7" i="8"/>
  <c r="D8" i="8"/>
  <c r="D5" i="8"/>
  <c r="D9" i="8"/>
  <c r="D10" i="8"/>
  <c r="D4" i="8"/>
  <c r="MD28" i="7"/>
  <c r="MC30" i="7"/>
  <c r="MC48" i="7"/>
  <c r="MO25" i="7"/>
  <c r="MP25" i="7" s="1"/>
  <c r="MN28" i="7"/>
  <c r="MO28" i="7" s="1"/>
  <c r="MP28" i="7" s="1"/>
  <c r="CN12" i="8"/>
  <c r="CN5" i="8"/>
  <c r="CN4" i="8"/>
  <c r="CN16" i="8"/>
  <c r="CN9" i="8"/>
  <c r="CN7" i="8"/>
  <c r="CN6" i="8"/>
  <c r="CN27" i="8"/>
  <c r="CN21" i="8"/>
  <c r="CN20" i="8"/>
  <c r="CN19" i="8"/>
  <c r="CN15" i="8"/>
  <c r="CN17" i="8"/>
  <c r="CN14" i="8"/>
  <c r="CN13" i="8"/>
  <c r="CN8" i="8"/>
  <c r="CN23" i="8"/>
  <c r="CN25" i="8"/>
  <c r="CN22" i="8"/>
  <c r="CN18" i="8"/>
  <c r="CN11" i="8"/>
  <c r="CN10" i="8"/>
  <c r="CN26" i="8"/>
  <c r="CN24" i="8"/>
  <c r="CL10" i="8"/>
  <c r="CL9" i="8"/>
  <c r="CL8" i="8"/>
  <c r="CL7" i="8"/>
  <c r="CL16" i="8"/>
  <c r="CL23" i="8"/>
  <c r="CL19" i="8"/>
  <c r="CL13" i="8"/>
  <c r="CL5" i="8"/>
  <c r="CL18" i="8"/>
  <c r="CL24" i="8"/>
  <c r="CL22" i="8"/>
  <c r="CL21" i="8"/>
  <c r="CL12" i="8"/>
  <c r="CL6" i="8"/>
  <c r="CL27" i="8"/>
  <c r="CL26" i="8"/>
  <c r="CL25" i="8"/>
  <c r="CL20" i="8"/>
  <c r="CL17" i="8"/>
  <c r="CL15" i="8"/>
  <c r="CL14" i="8"/>
  <c r="CL11" i="8"/>
  <c r="CL4" i="8"/>
  <c r="FX28" i="8"/>
  <c r="GM28" i="8" s="1"/>
  <c r="MG10" i="7"/>
  <c r="MF25" i="7"/>
  <c r="BO4" i="6"/>
  <c r="BR4" i="6" s="1"/>
  <c r="FT28" i="6"/>
  <c r="AY7" i="6"/>
  <c r="BN7" i="6" s="1"/>
  <c r="BO7" i="6" s="1"/>
  <c r="BR7" i="6" s="1"/>
  <c r="AY8" i="6"/>
  <c r="BN8" i="6" s="1"/>
  <c r="BO8" i="6" s="1"/>
  <c r="BR8" i="6" s="1"/>
  <c r="FU8" i="6" s="1"/>
  <c r="AY26" i="6"/>
  <c r="BN26" i="6" s="1"/>
  <c r="BO26" i="6" s="1"/>
  <c r="BR26" i="6" s="1"/>
  <c r="AY20" i="6"/>
  <c r="BN20" i="6" s="1"/>
  <c r="BO20" i="6" s="1"/>
  <c r="BR20" i="6" s="1"/>
  <c r="AY16" i="6"/>
  <c r="BN16" i="6" s="1"/>
  <c r="BO16" i="6" s="1"/>
  <c r="BR16" i="6" s="1"/>
  <c r="AY23" i="6"/>
  <c r="BN23" i="6" s="1"/>
  <c r="BO23" i="6" s="1"/>
  <c r="BR23" i="6" s="1"/>
  <c r="FU23" i="6" s="1"/>
  <c r="AY17" i="6"/>
  <c r="BN17" i="6" s="1"/>
  <c r="BO17" i="6" s="1"/>
  <c r="BR17" i="6" s="1"/>
  <c r="AY18" i="6"/>
  <c r="BN18" i="6" s="1"/>
  <c r="BO18" i="6" s="1"/>
  <c r="BR18" i="6" s="1"/>
  <c r="AY19" i="6"/>
  <c r="BN19" i="6" s="1"/>
  <c r="BO19" i="6" s="1"/>
  <c r="BR19" i="6" s="1"/>
  <c r="AY21" i="6"/>
  <c r="BN21" i="6" s="1"/>
  <c r="BO21" i="6" s="1"/>
  <c r="BR21" i="6" s="1"/>
  <c r="AY24" i="6"/>
  <c r="BN24" i="6" s="1"/>
  <c r="BO24" i="6" s="1"/>
  <c r="BR24" i="6" s="1"/>
  <c r="FU24" i="6" s="1"/>
  <c r="AY25" i="6"/>
  <c r="BN25" i="6" s="1"/>
  <c r="BO25" i="6" s="1"/>
  <c r="BR25" i="6" s="1"/>
  <c r="AY27" i="6"/>
  <c r="BN27" i="6" s="1"/>
  <c r="BO27" i="6" s="1"/>
  <c r="BR27" i="6" s="1"/>
  <c r="FU27" i="6" s="1"/>
  <c r="AY5" i="6"/>
  <c r="BN5" i="6" s="1"/>
  <c r="AY11" i="6"/>
  <c r="BN11" i="6" s="1"/>
  <c r="BO11" i="6" s="1"/>
  <c r="BR11" i="6" s="1"/>
  <c r="AY15" i="6"/>
  <c r="BN15" i="6" s="1"/>
  <c r="BO15" i="6" s="1"/>
  <c r="BR15" i="6" s="1"/>
  <c r="AY13" i="6"/>
  <c r="BN13" i="6" s="1"/>
  <c r="BO13" i="6" s="1"/>
  <c r="BR13" i="6" s="1"/>
  <c r="AY10" i="6"/>
  <c r="BN10" i="6" s="1"/>
  <c r="BO10" i="6" s="1"/>
  <c r="BR10" i="6" s="1"/>
  <c r="AY12" i="6"/>
  <c r="BN12" i="6" s="1"/>
  <c r="BO12" i="6" s="1"/>
  <c r="BR12" i="6" s="1"/>
  <c r="AY22" i="6"/>
  <c r="BN22" i="6" s="1"/>
  <c r="BO22" i="6" s="1"/>
  <c r="BR22" i="6" s="1"/>
  <c r="AY14" i="6"/>
  <c r="BN14" i="6" s="1"/>
  <c r="BO14" i="6" s="1"/>
  <c r="BR14" i="6" s="1"/>
  <c r="AY6" i="6"/>
  <c r="BN6" i="6" s="1"/>
  <c r="BO6" i="6" s="1"/>
  <c r="BR6" i="6" s="1"/>
  <c r="AY9" i="6"/>
  <c r="BN9" i="6" s="1"/>
  <c r="BO9" i="6" s="1"/>
  <c r="BR9" i="6" s="1"/>
  <c r="AZ28" i="6"/>
  <c r="AY28" i="6"/>
  <c r="MN12" i="5"/>
  <c r="MO12" i="5" s="1"/>
  <c r="MP12" i="5" s="1"/>
  <c r="MD12" i="5"/>
  <c r="Q22" i="5"/>
  <c r="P22" i="5"/>
  <c r="O22" i="5"/>
  <c r="R22" i="5" s="1"/>
  <c r="MD25" i="5"/>
  <c r="MN25" i="5"/>
  <c r="MC28" i="5"/>
  <c r="C13" i="6"/>
  <c r="D12" i="6" s="1"/>
  <c r="FD5" i="6"/>
  <c r="FD6" i="6" s="1"/>
  <c r="FL28" i="6" s="1"/>
  <c r="FM28" i="6" s="1"/>
  <c r="CO28" i="6"/>
  <c r="FV4" i="6"/>
  <c r="CQ4" i="6"/>
  <c r="GK4" i="6" s="1"/>
  <c r="CP4" i="6"/>
  <c r="FV7" i="6"/>
  <c r="CQ7" i="6"/>
  <c r="GK7" i="6" s="1"/>
  <c r="CP7" i="6"/>
  <c r="CQ11" i="6"/>
  <c r="GK11" i="6" s="1"/>
  <c r="FV11" i="6"/>
  <c r="CP11" i="6"/>
  <c r="FV23" i="6"/>
  <c r="CP23" i="6"/>
  <c r="FV15" i="6"/>
  <c r="CQ15" i="6"/>
  <c r="GK15" i="6" s="1"/>
  <c r="CP15" i="6"/>
  <c r="FV14" i="6"/>
  <c r="CQ14" i="6"/>
  <c r="GK14" i="6" s="1"/>
  <c r="CP14" i="6"/>
  <c r="FV17" i="6"/>
  <c r="CQ17" i="6"/>
  <c r="GK17" i="6" s="1"/>
  <c r="CP17" i="6"/>
  <c r="FV24" i="6"/>
  <c r="CP24" i="6"/>
  <c r="FV6" i="6"/>
  <c r="CQ6" i="6"/>
  <c r="GK6" i="6" s="1"/>
  <c r="CP6" i="6"/>
  <c r="FV9" i="6"/>
  <c r="CQ9" i="6"/>
  <c r="GK9" i="6" s="1"/>
  <c r="CP9" i="6"/>
  <c r="FV8" i="6"/>
  <c r="CP8" i="6"/>
  <c r="CQ10" i="6"/>
  <c r="GK10" i="6" s="1"/>
  <c r="FV10" i="6"/>
  <c r="CP10" i="6"/>
  <c r="FV18" i="6"/>
  <c r="CQ18" i="6"/>
  <c r="GK18" i="6" s="1"/>
  <c r="CP18" i="6"/>
  <c r="FV5" i="6"/>
  <c r="CQ5" i="6"/>
  <c r="GK5" i="6" s="1"/>
  <c r="CP5" i="6"/>
  <c r="FV26" i="6"/>
  <c r="CQ26" i="6"/>
  <c r="GK26" i="6" s="1"/>
  <c r="CP26" i="6"/>
  <c r="CP19" i="6"/>
  <c r="CQ19" i="6"/>
  <c r="GK19" i="6" s="1"/>
  <c r="FV19" i="6"/>
  <c r="FV27" i="6"/>
  <c r="CQ22" i="6"/>
  <c r="GK22" i="6" s="1"/>
  <c r="CP22" i="6"/>
  <c r="FV22" i="6"/>
  <c r="CP12" i="6"/>
  <c r="FV12" i="6"/>
  <c r="CQ12" i="6"/>
  <c r="GK12" i="6" s="1"/>
  <c r="CP16" i="6"/>
  <c r="CQ16" i="6"/>
  <c r="GK16" i="6" s="1"/>
  <c r="FV16" i="6"/>
  <c r="CP13" i="6"/>
  <c r="FV13" i="6"/>
  <c r="CQ13" i="6"/>
  <c r="GK13" i="6" s="1"/>
  <c r="CQ25" i="6"/>
  <c r="GK25" i="6" s="1"/>
  <c r="FV25" i="6"/>
  <c r="CP25" i="6"/>
  <c r="CP21" i="6"/>
  <c r="FV21" i="6"/>
  <c r="CQ21" i="6"/>
  <c r="GK21" i="6" s="1"/>
  <c r="CP20" i="6"/>
  <c r="FV20" i="6"/>
  <c r="CQ20" i="6"/>
  <c r="GK20" i="6" s="1"/>
  <c r="MG25" i="5"/>
  <c r="MF28" i="5"/>
  <c r="FX28" i="6"/>
  <c r="GM28" i="6" s="1"/>
  <c r="O22" i="3"/>
  <c r="R22" i="3" s="1"/>
  <c r="P22" i="3"/>
  <c r="Q22" i="3"/>
  <c r="MD12" i="3"/>
  <c r="MN12" i="3"/>
  <c r="MO12" i="3" s="1"/>
  <c r="MP12" i="3" s="1"/>
  <c r="MC28" i="3"/>
  <c r="MN25" i="3"/>
  <c r="MD25" i="3"/>
  <c r="FD5" i="4"/>
  <c r="FD6" i="4" s="1"/>
  <c r="FL28" i="4" s="1"/>
  <c r="FM28" i="4" s="1"/>
  <c r="D12" i="4"/>
  <c r="MF25" i="3"/>
  <c r="MG10" i="3"/>
  <c r="AA19" i="3"/>
  <c r="AA23" i="3" s="1"/>
  <c r="AA22" i="3"/>
  <c r="AA20" i="3"/>
  <c r="AX28" i="4"/>
  <c r="AY4" i="4"/>
  <c r="BN4" i="4" s="1"/>
  <c r="AZ4" i="4"/>
  <c r="GI4" i="4" s="1"/>
  <c r="FT4" i="4"/>
  <c r="D7" i="4"/>
  <c r="D6" i="4"/>
  <c r="D8" i="4"/>
  <c r="D5" i="4"/>
  <c r="D4" i="4"/>
  <c r="D10" i="4"/>
  <c r="D9" i="4"/>
  <c r="DJ12" i="4"/>
  <c r="DK12" i="4" s="1"/>
  <c r="DP12" i="4" s="1"/>
  <c r="ER12" i="4"/>
  <c r="ES12" i="4" s="1"/>
  <c r="DJ13" i="4"/>
  <c r="DK13" i="4" s="1"/>
  <c r="DP13" i="4" s="1"/>
  <c r="ER13" i="4"/>
  <c r="ES13" i="4" s="1"/>
  <c r="DJ14" i="4"/>
  <c r="DK14" i="4" s="1"/>
  <c r="DP14" i="4" s="1"/>
  <c r="ER14" i="4"/>
  <c r="ES14" i="4" s="1"/>
  <c r="DJ19" i="4"/>
  <c r="DK19" i="4" s="1"/>
  <c r="DP19" i="4" s="1"/>
  <c r="ER19" i="4"/>
  <c r="ES19" i="4" s="1"/>
  <c r="DJ20" i="4"/>
  <c r="DK20" i="4" s="1"/>
  <c r="DP20" i="4" s="1"/>
  <c r="ER20" i="4"/>
  <c r="ES20" i="4" s="1"/>
  <c r="ER22" i="4"/>
  <c r="ES22" i="4" s="1"/>
  <c r="DJ22" i="4"/>
  <c r="DK22" i="4" s="1"/>
  <c r="DP22" i="4" s="1"/>
  <c r="DJ23" i="4"/>
  <c r="DK23" i="4" s="1"/>
  <c r="DP23" i="4" s="1"/>
  <c r="ER23" i="4"/>
  <c r="ES23" i="4" s="1"/>
  <c r="DJ24" i="4"/>
  <c r="DK24" i="4" s="1"/>
  <c r="DP24" i="4" s="1"/>
  <c r="ER24" i="4"/>
  <c r="ES24" i="4" s="1"/>
  <c r="DJ25" i="4"/>
  <c r="DK25" i="4" s="1"/>
  <c r="DP25" i="4" s="1"/>
  <c r="ER25" i="4"/>
  <c r="ES25" i="4" s="1"/>
  <c r="DJ26" i="4"/>
  <c r="DK26" i="4" s="1"/>
  <c r="DP26" i="4" s="1"/>
  <c r="ER26" i="4"/>
  <c r="ES26" i="4" s="1"/>
  <c r="DJ27" i="4"/>
  <c r="DK27" i="4" s="1"/>
  <c r="DP27" i="4" s="1"/>
  <c r="ER27" i="4"/>
  <c r="ES27" i="4" s="1"/>
  <c r="DJ8" i="4"/>
  <c r="DK8" i="4" s="1"/>
  <c r="DP8" i="4" s="1"/>
  <c r="ER8" i="4"/>
  <c r="ES8" i="4" s="1"/>
  <c r="DJ9" i="4"/>
  <c r="DK9" i="4" s="1"/>
  <c r="DP9" i="4" s="1"/>
  <c r="ER9" i="4"/>
  <c r="ES9" i="4" s="1"/>
  <c r="DJ10" i="4"/>
  <c r="DK10" i="4" s="1"/>
  <c r="DP10" i="4" s="1"/>
  <c r="ER10" i="4"/>
  <c r="ES10" i="4" s="1"/>
  <c r="DJ15" i="4"/>
  <c r="DK15" i="4" s="1"/>
  <c r="DP15" i="4" s="1"/>
  <c r="ER15" i="4"/>
  <c r="ES15" i="4" s="1"/>
  <c r="ER4" i="4"/>
  <c r="DJ4" i="4"/>
  <c r="FV28" i="4"/>
  <c r="GK28" i="4" s="1"/>
  <c r="FX28" i="4"/>
  <c r="GM28" i="4" s="1"/>
  <c r="CQ28" i="4"/>
  <c r="CP7" i="4"/>
  <c r="CP16" i="4"/>
  <c r="CP18" i="4"/>
  <c r="CP17" i="4"/>
  <c r="CP11" i="4"/>
  <c r="CP6" i="4"/>
  <c r="CP5" i="4"/>
  <c r="CP28" i="4" s="1"/>
  <c r="CP21" i="4"/>
  <c r="JI9" i="1"/>
  <c r="JK9" i="1" s="1"/>
  <c r="JI8" i="1"/>
  <c r="JK8" i="1" s="1"/>
  <c r="JI7" i="1"/>
  <c r="JK7" i="1" s="1"/>
  <c r="JI6" i="1"/>
  <c r="JK6" i="1" s="1"/>
  <c r="KK7" i="1" s="1"/>
  <c r="DN15" i="2"/>
  <c r="BP15" i="2"/>
  <c r="ET9" i="2"/>
  <c r="BP9" i="2"/>
  <c r="BP10" i="2"/>
  <c r="CK10" i="2"/>
  <c r="DN10" i="2"/>
  <c r="ET10" i="2"/>
  <c r="JI17" i="1"/>
  <c r="JK17" i="1" s="1"/>
  <c r="JI18" i="1"/>
  <c r="JK18" i="1" s="1"/>
  <c r="JI24" i="1"/>
  <c r="JK24" i="1" s="1"/>
  <c r="DN16" i="2"/>
  <c r="BP16" i="2"/>
  <c r="DN9" i="2"/>
  <c r="JI25" i="1"/>
  <c r="JK25" i="1" s="1"/>
  <c r="CK9" i="2"/>
  <c r="JI23" i="1"/>
  <c r="JK23" i="1" s="1"/>
  <c r="JI10" i="1"/>
  <c r="JK10" i="1" s="1"/>
  <c r="JI19" i="1"/>
  <c r="JK19" i="1" s="1"/>
  <c r="JI22" i="1"/>
  <c r="JK22" i="1" s="1"/>
  <c r="JI12" i="1"/>
  <c r="JK12" i="1" s="1"/>
  <c r="JI14" i="1"/>
  <c r="JK14" i="1" s="1"/>
  <c r="KK15" i="1" s="1"/>
  <c r="LA15" i="1" s="1"/>
  <c r="JI21" i="1"/>
  <c r="JK21" i="1" s="1"/>
  <c r="KK22" i="1" s="1"/>
  <c r="JI11" i="1"/>
  <c r="JK11" i="1" s="1"/>
  <c r="KK12" i="1" s="1"/>
  <c r="KY12" i="1" s="1"/>
  <c r="JI15" i="1"/>
  <c r="JK15" i="1" s="1"/>
  <c r="KK27" i="1"/>
  <c r="N24" i="1"/>
  <c r="MC34" i="1"/>
  <c r="IC4" i="2"/>
  <c r="ET18" i="2"/>
  <c r="JI20" i="1"/>
  <c r="JK20" i="1" s="1"/>
  <c r="KK21" i="1" s="1"/>
  <c r="JI13" i="1"/>
  <c r="JK13" i="1" s="1"/>
  <c r="ET21" i="2"/>
  <c r="JI16" i="1"/>
  <c r="JK16" i="1" s="1"/>
  <c r="KK17" i="1" s="1"/>
  <c r="KW17" i="1" s="1"/>
  <c r="CK21" i="2"/>
  <c r="ET16" i="2"/>
  <c r="CK16" i="2"/>
  <c r="BP21" i="2"/>
  <c r="DN8" i="2"/>
  <c r="BP26" i="2"/>
  <c r="DN26" i="2"/>
  <c r="BP18" i="2"/>
  <c r="CK15" i="2"/>
  <c r="DN18" i="2"/>
  <c r="ET15" i="2"/>
  <c r="CK17" i="2"/>
  <c r="DN17" i="2"/>
  <c r="P4" i="2"/>
  <c r="BP17" i="2"/>
  <c r="P20" i="2"/>
  <c r="DY20" i="2" s="1"/>
  <c r="CK8" i="2"/>
  <c r="P26" i="2"/>
  <c r="ET8" i="2"/>
  <c r="P17" i="2"/>
  <c r="CK27" i="2"/>
  <c r="DN27" i="2"/>
  <c r="P21" i="2"/>
  <c r="DL21" i="2" s="1"/>
  <c r="P27" i="2"/>
  <c r="P7" i="2"/>
  <c r="P9" i="2"/>
  <c r="DL9" i="2" s="1"/>
  <c r="P8" i="2"/>
  <c r="ET26" i="2"/>
  <c r="P25" i="2"/>
  <c r="P18" i="2"/>
  <c r="DY18" i="2" s="1"/>
  <c r="BP27" i="2"/>
  <c r="P15" i="2"/>
  <c r="DY15" i="2" s="1"/>
  <c r="P10" i="2"/>
  <c r="DY10" i="2" s="1"/>
  <c r="P16" i="2"/>
  <c r="DY16" i="2" s="1"/>
  <c r="JU26" i="1"/>
  <c r="P6" i="2"/>
  <c r="CM6" i="2" s="1"/>
  <c r="P22" i="2"/>
  <c r="DY22" i="2" s="1"/>
  <c r="FF8" i="1"/>
  <c r="P12" i="2"/>
  <c r="DL12" i="2" s="1"/>
  <c r="P24" i="2"/>
  <c r="DL24" i="2" s="1"/>
  <c r="P11" i="2"/>
  <c r="DL11" i="2" s="1"/>
  <c r="P13" i="2"/>
  <c r="DL13" i="2" s="1"/>
  <c r="P5" i="2"/>
  <c r="CM5" i="2" s="1"/>
  <c r="P23" i="2"/>
  <c r="CM23" i="2" s="1"/>
  <c r="P14" i="2"/>
  <c r="DY14" i="2" s="1"/>
  <c r="KC26" i="1"/>
  <c r="M28" i="2"/>
  <c r="BP4" i="2"/>
  <c r="CK4" i="2"/>
  <c r="ET4" i="2"/>
  <c r="DN4" i="2"/>
  <c r="IY20" i="1"/>
  <c r="IZ15" i="1"/>
  <c r="LM15" i="1"/>
  <c r="LP15" i="1" s="1"/>
  <c r="LB16" i="1"/>
  <c r="CK20" i="2"/>
  <c r="ET20" i="2"/>
  <c r="BP20" i="2"/>
  <c r="DN20" i="2"/>
  <c r="KC20" i="1"/>
  <c r="AJ16" i="1"/>
  <c r="L10" i="1"/>
  <c r="M10" i="1"/>
  <c r="KC8" i="1"/>
  <c r="CG17" i="1"/>
  <c r="CH17" i="1" s="1"/>
  <c r="DN25" i="2"/>
  <c r="BP25" i="2"/>
  <c r="CK25" i="2"/>
  <c r="ET25" i="2"/>
  <c r="IY19" i="1"/>
  <c r="HZ27" i="1"/>
  <c r="IY8" i="1"/>
  <c r="II26" i="1"/>
  <c r="KC12" i="1"/>
  <c r="CK19" i="2"/>
  <c r="BP19" i="2"/>
  <c r="DN19" i="2"/>
  <c r="ET19" i="2"/>
  <c r="M7" i="1"/>
  <c r="L7" i="1"/>
  <c r="IY16" i="1"/>
  <c r="IY10" i="1"/>
  <c r="IQ26" i="1"/>
  <c r="CK12" i="2"/>
  <c r="DN12" i="2"/>
  <c r="BP12" i="2"/>
  <c r="ET12" i="2"/>
  <c r="F20" i="1"/>
  <c r="P9" i="1"/>
  <c r="MC9" i="1"/>
  <c r="IK26" i="1"/>
  <c r="LM11" i="1"/>
  <c r="LP11" i="1" s="1"/>
  <c r="LB12" i="1"/>
  <c r="IZ11" i="1"/>
  <c r="IY17" i="1"/>
  <c r="KC22" i="1"/>
  <c r="CK22" i="2"/>
  <c r="ET22" i="2"/>
  <c r="DN22" i="2"/>
  <c r="BP22" i="2"/>
  <c r="KC17" i="1"/>
  <c r="K12" i="1"/>
  <c r="KQ28" i="1"/>
  <c r="N16" i="1"/>
  <c r="KC16" i="1"/>
  <c r="IY21" i="1"/>
  <c r="KC14" i="1"/>
  <c r="ET24" i="2"/>
  <c r="CK24" i="2"/>
  <c r="BP24" i="2"/>
  <c r="DN24" i="2"/>
  <c r="Q17" i="1"/>
  <c r="P17" i="1"/>
  <c r="MC17" i="1"/>
  <c r="IW26" i="1"/>
  <c r="IY13" i="1"/>
  <c r="IY12" i="1"/>
  <c r="DN11" i="2"/>
  <c r="BP11" i="2"/>
  <c r="CK11" i="2"/>
  <c r="ET11" i="2"/>
  <c r="IZ8" i="2"/>
  <c r="JA8" i="2" s="1"/>
  <c r="JJ8" i="2"/>
  <c r="IU26" i="1"/>
  <c r="KC10" i="1"/>
  <c r="IY22" i="1"/>
  <c r="ET13" i="2"/>
  <c r="DN13" i="2"/>
  <c r="BP13" i="2"/>
  <c r="CK13" i="2"/>
  <c r="IS26" i="1"/>
  <c r="CF7" i="1"/>
  <c r="CI7" i="1" s="1"/>
  <c r="CJ7" i="1" s="1"/>
  <c r="F9" i="1"/>
  <c r="G7" i="1"/>
  <c r="CG7" i="1" s="1"/>
  <c r="CH7" i="1" s="1"/>
  <c r="KC19" i="1"/>
  <c r="CK5" i="2"/>
  <c r="ET5" i="2"/>
  <c r="DN5" i="2"/>
  <c r="BP5" i="2"/>
  <c r="LP6" i="1"/>
  <c r="CM19" i="2"/>
  <c r="DY19" i="2"/>
  <c r="DL19" i="2"/>
  <c r="Q25" i="1"/>
  <c r="R25" i="1"/>
  <c r="IY14" i="1"/>
  <c r="CK14" i="2"/>
  <c r="BP14" i="2"/>
  <c r="ET14" i="2"/>
  <c r="DN14" i="2"/>
  <c r="LJ26" i="1"/>
  <c r="MC8" i="1"/>
  <c r="LW8" i="1" s="1"/>
  <c r="N7" i="1"/>
  <c r="Q8" i="1"/>
  <c r="P8" i="1"/>
  <c r="H9" i="1"/>
  <c r="J7" i="1"/>
  <c r="I7" i="1"/>
  <c r="MG35" i="1"/>
  <c r="MN35" i="1"/>
  <c r="MO35" i="1" s="1"/>
  <c r="MP35" i="1" s="1"/>
  <c r="BP23" i="2"/>
  <c r="ET23" i="2"/>
  <c r="DN23" i="2"/>
  <c r="CK23" i="2"/>
  <c r="L16" i="1"/>
  <c r="M16" i="1"/>
  <c r="KC21" i="1"/>
  <c r="LB24" i="1"/>
  <c r="IZ23" i="1"/>
  <c r="LM23" i="1"/>
  <c r="LP23" i="1" s="1"/>
  <c r="KC13" i="1"/>
  <c r="DN6" i="2"/>
  <c r="ET6" i="2"/>
  <c r="CK6" i="2"/>
  <c r="BP6" i="2"/>
  <c r="MD28" i="9" l="1"/>
  <c r="MC30" i="9"/>
  <c r="MC48" i="9"/>
  <c r="MO25" i="9"/>
  <c r="MP25" i="9" s="1"/>
  <c r="MN28" i="9"/>
  <c r="MO28" i="9" s="1"/>
  <c r="MP28" i="9" s="1"/>
  <c r="MF28" i="9"/>
  <c r="MG25" i="9"/>
  <c r="BO4" i="10"/>
  <c r="BR4" i="10" s="1"/>
  <c r="AY25" i="10"/>
  <c r="BN25" i="10" s="1"/>
  <c r="BO25" i="10" s="1"/>
  <c r="BR25" i="10" s="1"/>
  <c r="AY24" i="10"/>
  <c r="BN24" i="10" s="1"/>
  <c r="BO24" i="10" s="1"/>
  <c r="BR24" i="10" s="1"/>
  <c r="FU24" i="10" s="1"/>
  <c r="AY23" i="10"/>
  <c r="BN23" i="10" s="1"/>
  <c r="BO23" i="10" s="1"/>
  <c r="BR23" i="10" s="1"/>
  <c r="FU23" i="10" s="1"/>
  <c r="AY18" i="10"/>
  <c r="BN18" i="10" s="1"/>
  <c r="BO18" i="10" s="1"/>
  <c r="BR18" i="10" s="1"/>
  <c r="AY15" i="10"/>
  <c r="BN15" i="10" s="1"/>
  <c r="BO15" i="10" s="1"/>
  <c r="BR15" i="10" s="1"/>
  <c r="AY26" i="10"/>
  <c r="BN26" i="10" s="1"/>
  <c r="BO26" i="10" s="1"/>
  <c r="BR26" i="10" s="1"/>
  <c r="AY19" i="10"/>
  <c r="BN19" i="10" s="1"/>
  <c r="BO19" i="10" s="1"/>
  <c r="BR19" i="10" s="1"/>
  <c r="AY17" i="10"/>
  <c r="BN17" i="10" s="1"/>
  <c r="BO17" i="10" s="1"/>
  <c r="BR17" i="10" s="1"/>
  <c r="AY20" i="10"/>
  <c r="BN20" i="10" s="1"/>
  <c r="BO20" i="10" s="1"/>
  <c r="BR20" i="10" s="1"/>
  <c r="AY21" i="10"/>
  <c r="BN21" i="10" s="1"/>
  <c r="BO21" i="10" s="1"/>
  <c r="BR21" i="10" s="1"/>
  <c r="AY14" i="10"/>
  <c r="BN14" i="10" s="1"/>
  <c r="BO14" i="10" s="1"/>
  <c r="BR14" i="10" s="1"/>
  <c r="AY10" i="10"/>
  <c r="BN10" i="10" s="1"/>
  <c r="BO10" i="10" s="1"/>
  <c r="BR10" i="10" s="1"/>
  <c r="AY9" i="10"/>
  <c r="BN9" i="10" s="1"/>
  <c r="BO9" i="10" s="1"/>
  <c r="BR9" i="10" s="1"/>
  <c r="AY8" i="10"/>
  <c r="BN8" i="10" s="1"/>
  <c r="BO8" i="10" s="1"/>
  <c r="BR8" i="10" s="1"/>
  <c r="FU8" i="10" s="1"/>
  <c r="AY7" i="10"/>
  <c r="BN7" i="10" s="1"/>
  <c r="BO7" i="10" s="1"/>
  <c r="BR7" i="10" s="1"/>
  <c r="AY6" i="10"/>
  <c r="BN6" i="10" s="1"/>
  <c r="BO6" i="10" s="1"/>
  <c r="BR6" i="10" s="1"/>
  <c r="AY5" i="10"/>
  <c r="BN5" i="10" s="1"/>
  <c r="AY27" i="10"/>
  <c r="BN27" i="10" s="1"/>
  <c r="BO27" i="10" s="1"/>
  <c r="BR27" i="10" s="1"/>
  <c r="FU27" i="10" s="1"/>
  <c r="AY22" i="10"/>
  <c r="BN22" i="10" s="1"/>
  <c r="BO22" i="10" s="1"/>
  <c r="BR22" i="10" s="1"/>
  <c r="AY16" i="10"/>
  <c r="BN16" i="10" s="1"/>
  <c r="BO16" i="10" s="1"/>
  <c r="BR16" i="10" s="1"/>
  <c r="AY13" i="10"/>
  <c r="BN13" i="10" s="1"/>
  <c r="BO13" i="10" s="1"/>
  <c r="BR13" i="10" s="1"/>
  <c r="AY12" i="10"/>
  <c r="BN12" i="10" s="1"/>
  <c r="BO12" i="10" s="1"/>
  <c r="BR12" i="10" s="1"/>
  <c r="AY11" i="10"/>
  <c r="BN11" i="10" s="1"/>
  <c r="BO11" i="10" s="1"/>
  <c r="BR11" i="10" s="1"/>
  <c r="AY28" i="10"/>
  <c r="AZ28" i="10"/>
  <c r="FT28" i="10"/>
  <c r="DJ9" i="10"/>
  <c r="DK9" i="10" s="1"/>
  <c r="DP9" i="10" s="1"/>
  <c r="ER9" i="10"/>
  <c r="ES9" i="10" s="1"/>
  <c r="ER26" i="10"/>
  <c r="ES26" i="10" s="1"/>
  <c r="DJ26" i="10"/>
  <c r="DK26" i="10" s="1"/>
  <c r="DP26" i="10" s="1"/>
  <c r="ER20" i="10"/>
  <c r="ES20" i="10" s="1"/>
  <c r="DJ20" i="10"/>
  <c r="DK20" i="10" s="1"/>
  <c r="DP20" i="10" s="1"/>
  <c r="ER5" i="10"/>
  <c r="ES5" i="10" s="1"/>
  <c r="DJ5" i="10"/>
  <c r="DK5" i="10" s="1"/>
  <c r="DP5" i="10" s="1"/>
  <c r="ER6" i="10"/>
  <c r="ES6" i="10" s="1"/>
  <c r="DJ6" i="10"/>
  <c r="DK6" i="10" s="1"/>
  <c r="DP6" i="10" s="1"/>
  <c r="ER11" i="10"/>
  <c r="ES11" i="10" s="1"/>
  <c r="DJ11" i="10"/>
  <c r="DK11" i="10" s="1"/>
  <c r="DP11" i="10" s="1"/>
  <c r="ER12" i="10"/>
  <c r="ES12" i="10" s="1"/>
  <c r="DJ12" i="10"/>
  <c r="DK12" i="10" s="1"/>
  <c r="DP12" i="10" s="1"/>
  <c r="ER25" i="10"/>
  <c r="ES25" i="10" s="1"/>
  <c r="DJ25" i="10"/>
  <c r="DK25" i="10" s="1"/>
  <c r="DP25" i="10" s="1"/>
  <c r="ER7" i="10"/>
  <c r="ES7" i="10" s="1"/>
  <c r="DJ7" i="10"/>
  <c r="DK7" i="10" s="1"/>
  <c r="DP7" i="10" s="1"/>
  <c r="ER24" i="10"/>
  <c r="ES24" i="10" s="1"/>
  <c r="DJ24" i="10"/>
  <c r="DK24" i="10" s="1"/>
  <c r="DP24" i="10" s="1"/>
  <c r="DJ13" i="10"/>
  <c r="DK13" i="10" s="1"/>
  <c r="DP13" i="10" s="1"/>
  <c r="ER13" i="10"/>
  <c r="ES13" i="10" s="1"/>
  <c r="ER18" i="10"/>
  <c r="ES18" i="10" s="1"/>
  <c r="DJ18" i="10"/>
  <c r="DK18" i="10" s="1"/>
  <c r="DP18" i="10" s="1"/>
  <c r="DJ16" i="10"/>
  <c r="DK16" i="10" s="1"/>
  <c r="DP16" i="10" s="1"/>
  <c r="ER16" i="10"/>
  <c r="ES16" i="10" s="1"/>
  <c r="ER14" i="10"/>
  <c r="ES14" i="10" s="1"/>
  <c r="DJ14" i="10"/>
  <c r="DK14" i="10" s="1"/>
  <c r="DP14" i="10" s="1"/>
  <c r="ER8" i="10"/>
  <c r="ES8" i="10" s="1"/>
  <c r="DJ8" i="10"/>
  <c r="DK8" i="10" s="1"/>
  <c r="DP8" i="10" s="1"/>
  <c r="ER19" i="10"/>
  <c r="ES19" i="10" s="1"/>
  <c r="DJ19" i="10"/>
  <c r="DK19" i="10" s="1"/>
  <c r="DP19" i="10" s="1"/>
  <c r="ER21" i="10"/>
  <c r="ES21" i="10" s="1"/>
  <c r="DJ21" i="10"/>
  <c r="DK21" i="10" s="1"/>
  <c r="DP21" i="10" s="1"/>
  <c r="CP28" i="10"/>
  <c r="ER4" i="10"/>
  <c r="DJ4" i="10"/>
  <c r="ER15" i="10"/>
  <c r="ES15" i="10" s="1"/>
  <c r="DJ15" i="10"/>
  <c r="DK15" i="10" s="1"/>
  <c r="DP15" i="10" s="1"/>
  <c r="DJ22" i="10"/>
  <c r="DK22" i="10" s="1"/>
  <c r="DP22" i="10" s="1"/>
  <c r="ER22" i="10"/>
  <c r="ES22" i="10" s="1"/>
  <c r="ER27" i="10"/>
  <c r="ES27" i="10" s="1"/>
  <c r="DJ27" i="10"/>
  <c r="DK27" i="10" s="1"/>
  <c r="DP27" i="10" s="1"/>
  <c r="DJ10" i="10"/>
  <c r="DK10" i="10" s="1"/>
  <c r="DP10" i="10" s="1"/>
  <c r="ER10" i="10"/>
  <c r="ES10" i="10" s="1"/>
  <c r="ER23" i="10"/>
  <c r="ES23" i="10" s="1"/>
  <c r="DJ23" i="10"/>
  <c r="DK23" i="10" s="1"/>
  <c r="DP23" i="10" s="1"/>
  <c r="ER17" i="10"/>
  <c r="ES17" i="10" s="1"/>
  <c r="DJ17" i="10"/>
  <c r="DK17" i="10" s="1"/>
  <c r="DP17" i="10" s="1"/>
  <c r="BO4" i="8"/>
  <c r="BR4" i="8" s="1"/>
  <c r="AY25" i="8"/>
  <c r="BN25" i="8" s="1"/>
  <c r="BO25" i="8" s="1"/>
  <c r="BR25" i="8" s="1"/>
  <c r="AY22" i="8"/>
  <c r="BN22" i="8" s="1"/>
  <c r="BO22" i="8" s="1"/>
  <c r="BR22" i="8" s="1"/>
  <c r="AY20" i="8"/>
  <c r="BN20" i="8" s="1"/>
  <c r="BO20" i="8" s="1"/>
  <c r="BR20" i="8" s="1"/>
  <c r="AY19" i="8"/>
  <c r="BN19" i="8" s="1"/>
  <c r="BO19" i="8" s="1"/>
  <c r="BR19" i="8" s="1"/>
  <c r="AY18" i="8"/>
  <c r="BN18" i="8" s="1"/>
  <c r="BO18" i="8" s="1"/>
  <c r="BR18" i="8" s="1"/>
  <c r="AY9" i="8"/>
  <c r="BN9" i="8" s="1"/>
  <c r="BO9" i="8" s="1"/>
  <c r="BR9" i="8" s="1"/>
  <c r="AY7" i="8"/>
  <c r="BN7" i="8" s="1"/>
  <c r="BO7" i="8" s="1"/>
  <c r="BR7" i="8" s="1"/>
  <c r="AY14" i="8"/>
  <c r="BN14" i="8" s="1"/>
  <c r="BO14" i="8" s="1"/>
  <c r="BR14" i="8" s="1"/>
  <c r="AY12" i="8"/>
  <c r="BN12" i="8" s="1"/>
  <c r="BO12" i="8" s="1"/>
  <c r="BR12" i="8" s="1"/>
  <c r="AY17" i="8"/>
  <c r="BN17" i="8" s="1"/>
  <c r="BO17" i="8" s="1"/>
  <c r="BR17" i="8" s="1"/>
  <c r="AY5" i="8"/>
  <c r="BN5" i="8" s="1"/>
  <c r="AY24" i="8"/>
  <c r="BN24" i="8" s="1"/>
  <c r="BO24" i="8" s="1"/>
  <c r="BR24" i="8" s="1"/>
  <c r="FU24" i="8" s="1"/>
  <c r="AY23" i="8"/>
  <c r="BN23" i="8" s="1"/>
  <c r="BO23" i="8" s="1"/>
  <c r="BR23" i="8" s="1"/>
  <c r="FU23" i="8" s="1"/>
  <c r="AY21" i="8"/>
  <c r="BN21" i="8" s="1"/>
  <c r="BO21" i="8" s="1"/>
  <c r="BR21" i="8" s="1"/>
  <c r="AY16" i="8"/>
  <c r="BN16" i="8" s="1"/>
  <c r="BO16" i="8" s="1"/>
  <c r="BR16" i="8" s="1"/>
  <c r="AY15" i="8"/>
  <c r="BN15" i="8" s="1"/>
  <c r="BO15" i="8" s="1"/>
  <c r="BR15" i="8" s="1"/>
  <c r="AY13" i="8"/>
  <c r="BN13" i="8" s="1"/>
  <c r="BO13" i="8" s="1"/>
  <c r="BR13" i="8" s="1"/>
  <c r="AY11" i="8"/>
  <c r="BN11" i="8" s="1"/>
  <c r="BO11" i="8" s="1"/>
  <c r="BR11" i="8" s="1"/>
  <c r="AY10" i="8"/>
  <c r="BN10" i="8" s="1"/>
  <c r="BO10" i="8" s="1"/>
  <c r="BR10" i="8" s="1"/>
  <c r="AY8" i="8"/>
  <c r="BN8" i="8" s="1"/>
  <c r="BO8" i="8" s="1"/>
  <c r="BR8" i="8" s="1"/>
  <c r="FU8" i="8" s="1"/>
  <c r="AY6" i="8"/>
  <c r="BN6" i="8" s="1"/>
  <c r="BO6" i="8" s="1"/>
  <c r="BR6" i="8" s="1"/>
  <c r="AY26" i="8"/>
  <c r="BN26" i="8" s="1"/>
  <c r="BO26" i="8" s="1"/>
  <c r="BR26" i="8" s="1"/>
  <c r="AY27" i="8"/>
  <c r="BN27" i="8" s="1"/>
  <c r="BO27" i="8" s="1"/>
  <c r="BR27" i="8" s="1"/>
  <c r="FU27" i="8" s="1"/>
  <c r="AZ28" i="8"/>
  <c r="AY28" i="8"/>
  <c r="FT28" i="8"/>
  <c r="MD30" i="7"/>
  <c r="MN30" i="7"/>
  <c r="MO30" i="7" s="1"/>
  <c r="MP30" i="7" s="1"/>
  <c r="MC32" i="7"/>
  <c r="MN32" i="7" s="1"/>
  <c r="MO32" i="7" s="1"/>
  <c r="MF9" i="7"/>
  <c r="MG25" i="7"/>
  <c r="MF28" i="7"/>
  <c r="CO12" i="8"/>
  <c r="CO5" i="8"/>
  <c r="CO4" i="8"/>
  <c r="CO16" i="8"/>
  <c r="CO9" i="8"/>
  <c r="CO7" i="8"/>
  <c r="CO6" i="8"/>
  <c r="CO27" i="8"/>
  <c r="CO21" i="8"/>
  <c r="CO20" i="8"/>
  <c r="CO19" i="8"/>
  <c r="CO15" i="8"/>
  <c r="CO17" i="8"/>
  <c r="CO14" i="8"/>
  <c r="CO13" i="8"/>
  <c r="CO8" i="8"/>
  <c r="CO23" i="8"/>
  <c r="CO25" i="8"/>
  <c r="CO22" i="8"/>
  <c r="CO18" i="8"/>
  <c r="CO11" i="8"/>
  <c r="CO10" i="8"/>
  <c r="CO26" i="8"/>
  <c r="CO24" i="8"/>
  <c r="D13" i="8"/>
  <c r="FU4" i="6"/>
  <c r="BS4" i="6"/>
  <c r="GJ4" i="6" s="1"/>
  <c r="GI28" i="6"/>
  <c r="FU7" i="6"/>
  <c r="BS7" i="6"/>
  <c r="GJ7" i="6" s="1"/>
  <c r="FU26" i="6"/>
  <c r="BS26" i="6"/>
  <c r="GJ26" i="6" s="1"/>
  <c r="BS20" i="6"/>
  <c r="GJ20" i="6" s="1"/>
  <c r="FU20" i="6"/>
  <c r="FU16" i="6"/>
  <c r="BS16" i="6"/>
  <c r="GJ16" i="6" s="1"/>
  <c r="BS17" i="6"/>
  <c r="GJ17" i="6" s="1"/>
  <c r="FU17" i="6"/>
  <c r="BS18" i="6"/>
  <c r="GJ18" i="6" s="1"/>
  <c r="FU18" i="6"/>
  <c r="FU19" i="6"/>
  <c r="BS19" i="6"/>
  <c r="GJ19" i="6" s="1"/>
  <c r="BS21" i="6"/>
  <c r="GJ21" i="6" s="1"/>
  <c r="FU21" i="6"/>
  <c r="BS25" i="6"/>
  <c r="GJ25" i="6" s="1"/>
  <c r="FU25" i="6"/>
  <c r="FU11" i="6"/>
  <c r="BS11" i="6"/>
  <c r="GJ11" i="6" s="1"/>
  <c r="FU15" i="6"/>
  <c r="BS15" i="6"/>
  <c r="GJ15" i="6" s="1"/>
  <c r="FU13" i="6"/>
  <c r="BS13" i="6"/>
  <c r="GJ13" i="6" s="1"/>
  <c r="FU10" i="6"/>
  <c r="BS10" i="6"/>
  <c r="GJ10" i="6" s="1"/>
  <c r="FU12" i="6"/>
  <c r="BS12" i="6"/>
  <c r="GJ12" i="6" s="1"/>
  <c r="BS22" i="6"/>
  <c r="GJ22" i="6" s="1"/>
  <c r="FU22" i="6"/>
  <c r="FU14" i="6"/>
  <c r="BS14" i="6"/>
  <c r="GJ14" i="6" s="1"/>
  <c r="FU6" i="6"/>
  <c r="BS6" i="6"/>
  <c r="GJ6" i="6" s="1"/>
  <c r="FU9" i="6"/>
  <c r="BS9" i="6"/>
  <c r="GJ9" i="6" s="1"/>
  <c r="MN28" i="5"/>
  <c r="MO28" i="5" s="1"/>
  <c r="MP28" i="5" s="1"/>
  <c r="MO25" i="5"/>
  <c r="MP25" i="5" s="1"/>
  <c r="MC48" i="5"/>
  <c r="MC30" i="5"/>
  <c r="MD28" i="5"/>
  <c r="D7" i="6"/>
  <c r="D6" i="6"/>
  <c r="D5" i="6"/>
  <c r="D8" i="6"/>
  <c r="D4" i="6"/>
  <c r="D13" i="6" s="1"/>
  <c r="D10" i="6"/>
  <c r="D9" i="6"/>
  <c r="D11" i="6"/>
  <c r="CP28" i="6"/>
  <c r="ER4" i="6"/>
  <c r="DJ4" i="6"/>
  <c r="DJ7" i="6"/>
  <c r="DK7" i="6" s="1"/>
  <c r="DP7" i="6" s="1"/>
  <c r="ER7" i="6"/>
  <c r="ES7" i="6" s="1"/>
  <c r="ER11" i="6"/>
  <c r="ES11" i="6" s="1"/>
  <c r="DJ11" i="6"/>
  <c r="DK11" i="6" s="1"/>
  <c r="DP11" i="6" s="1"/>
  <c r="DJ23" i="6"/>
  <c r="DK23" i="6" s="1"/>
  <c r="DP23" i="6" s="1"/>
  <c r="ER23" i="6"/>
  <c r="ES23" i="6" s="1"/>
  <c r="DJ15" i="6"/>
  <c r="DK15" i="6" s="1"/>
  <c r="DP15" i="6" s="1"/>
  <c r="ER15" i="6"/>
  <c r="ES15" i="6" s="1"/>
  <c r="ER14" i="6"/>
  <c r="ES14" i="6" s="1"/>
  <c r="DJ14" i="6"/>
  <c r="DK14" i="6" s="1"/>
  <c r="DP14" i="6" s="1"/>
  <c r="ER17" i="6"/>
  <c r="ES17" i="6" s="1"/>
  <c r="DJ17" i="6"/>
  <c r="DK17" i="6" s="1"/>
  <c r="DP17" i="6" s="1"/>
  <c r="DJ24" i="6"/>
  <c r="DK24" i="6" s="1"/>
  <c r="DP24" i="6" s="1"/>
  <c r="ER24" i="6"/>
  <c r="ES24" i="6" s="1"/>
  <c r="ER6" i="6"/>
  <c r="ES6" i="6" s="1"/>
  <c r="DJ6" i="6"/>
  <c r="DK6" i="6" s="1"/>
  <c r="DP6" i="6" s="1"/>
  <c r="ER9" i="6"/>
  <c r="ES9" i="6" s="1"/>
  <c r="DJ9" i="6"/>
  <c r="DK9" i="6" s="1"/>
  <c r="DP9" i="6" s="1"/>
  <c r="ER8" i="6"/>
  <c r="ES8" i="6" s="1"/>
  <c r="DJ8" i="6"/>
  <c r="DK8" i="6" s="1"/>
  <c r="DP8" i="6" s="1"/>
  <c r="ER10" i="6"/>
  <c r="ES10" i="6" s="1"/>
  <c r="DJ10" i="6"/>
  <c r="DK10" i="6" s="1"/>
  <c r="DP10" i="6" s="1"/>
  <c r="ER18" i="6"/>
  <c r="ES18" i="6" s="1"/>
  <c r="DJ18" i="6"/>
  <c r="DK18" i="6" s="1"/>
  <c r="DP18" i="6" s="1"/>
  <c r="ER5" i="6"/>
  <c r="ES5" i="6" s="1"/>
  <c r="DJ5" i="6"/>
  <c r="DK5" i="6" s="1"/>
  <c r="DP5" i="6" s="1"/>
  <c r="DJ26" i="6"/>
  <c r="DK26" i="6" s="1"/>
  <c r="DP26" i="6" s="1"/>
  <c r="ER26" i="6"/>
  <c r="ES26" i="6" s="1"/>
  <c r="DJ19" i="6"/>
  <c r="DK19" i="6" s="1"/>
  <c r="DP19" i="6" s="1"/>
  <c r="ER19" i="6"/>
  <c r="ES19" i="6" s="1"/>
  <c r="DJ22" i="6"/>
  <c r="DK22" i="6" s="1"/>
  <c r="DP22" i="6" s="1"/>
  <c r="ER22" i="6"/>
  <c r="ES22" i="6" s="1"/>
  <c r="ER12" i="6"/>
  <c r="ES12" i="6" s="1"/>
  <c r="DJ12" i="6"/>
  <c r="DK12" i="6" s="1"/>
  <c r="DP12" i="6" s="1"/>
  <c r="DJ16" i="6"/>
  <c r="DK16" i="6" s="1"/>
  <c r="DP16" i="6" s="1"/>
  <c r="ER16" i="6"/>
  <c r="ES16" i="6" s="1"/>
  <c r="ER13" i="6"/>
  <c r="ES13" i="6" s="1"/>
  <c r="DJ13" i="6"/>
  <c r="DK13" i="6" s="1"/>
  <c r="DP13" i="6" s="1"/>
  <c r="DJ25" i="6"/>
  <c r="DK25" i="6" s="1"/>
  <c r="DP25" i="6" s="1"/>
  <c r="ER25" i="6"/>
  <c r="ES25" i="6" s="1"/>
  <c r="ER21" i="6"/>
  <c r="ES21" i="6" s="1"/>
  <c r="DJ21" i="6"/>
  <c r="DK21" i="6" s="1"/>
  <c r="DP21" i="6" s="1"/>
  <c r="DJ20" i="6"/>
  <c r="DK20" i="6" s="1"/>
  <c r="DP20" i="6" s="1"/>
  <c r="ER20" i="6"/>
  <c r="ES20" i="6" s="1"/>
  <c r="MF30" i="5"/>
  <c r="MG30" i="5" s="1"/>
  <c r="MG28" i="5"/>
  <c r="FV28" i="6"/>
  <c r="GK28" i="6" s="1"/>
  <c r="BO5" i="6"/>
  <c r="BR5" i="6" s="1"/>
  <c r="BN28" i="6"/>
  <c r="CQ28" i="6"/>
  <c r="CP27" i="6"/>
  <c r="MD28" i="3"/>
  <c r="MC30" i="3"/>
  <c r="MC48" i="3"/>
  <c r="MO25" i="3"/>
  <c r="MP25" i="3" s="1"/>
  <c r="MN28" i="3"/>
  <c r="MO28" i="3" s="1"/>
  <c r="MP28" i="3" s="1"/>
  <c r="MF28" i="3"/>
  <c r="MG25" i="3"/>
  <c r="AY9" i="4"/>
  <c r="BN9" i="4" s="1"/>
  <c r="BO9" i="4" s="1"/>
  <c r="BR9" i="4" s="1"/>
  <c r="AY25" i="4"/>
  <c r="BN25" i="4" s="1"/>
  <c r="BO25" i="4" s="1"/>
  <c r="BR25" i="4" s="1"/>
  <c r="AY22" i="4"/>
  <c r="BN22" i="4" s="1"/>
  <c r="BO22" i="4" s="1"/>
  <c r="BR22" i="4" s="1"/>
  <c r="AY21" i="4"/>
  <c r="BN21" i="4" s="1"/>
  <c r="BO21" i="4" s="1"/>
  <c r="BR21" i="4" s="1"/>
  <c r="AY20" i="4"/>
  <c r="BN20" i="4" s="1"/>
  <c r="BO20" i="4" s="1"/>
  <c r="BR20" i="4" s="1"/>
  <c r="AY19" i="4"/>
  <c r="BN19" i="4" s="1"/>
  <c r="BO19" i="4" s="1"/>
  <c r="BR19" i="4" s="1"/>
  <c r="AY8" i="4"/>
  <c r="BN8" i="4" s="1"/>
  <c r="BO8" i="4" s="1"/>
  <c r="BR8" i="4" s="1"/>
  <c r="FU8" i="4" s="1"/>
  <c r="AY18" i="4"/>
  <c r="BN18" i="4" s="1"/>
  <c r="BO18" i="4" s="1"/>
  <c r="BR18" i="4" s="1"/>
  <c r="AY17" i="4"/>
  <c r="BN17" i="4" s="1"/>
  <c r="BO17" i="4" s="1"/>
  <c r="BR17" i="4" s="1"/>
  <c r="AY16" i="4"/>
  <c r="BN16" i="4" s="1"/>
  <c r="BO16" i="4" s="1"/>
  <c r="BR16" i="4" s="1"/>
  <c r="AY14" i="4"/>
  <c r="BN14" i="4" s="1"/>
  <c r="BO14" i="4" s="1"/>
  <c r="BR14" i="4" s="1"/>
  <c r="AY13" i="4"/>
  <c r="BN13" i="4" s="1"/>
  <c r="BO13" i="4" s="1"/>
  <c r="BR13" i="4" s="1"/>
  <c r="AY12" i="4"/>
  <c r="BN12" i="4" s="1"/>
  <c r="BO12" i="4" s="1"/>
  <c r="BR12" i="4" s="1"/>
  <c r="AY11" i="4"/>
  <c r="BN11" i="4" s="1"/>
  <c r="BO11" i="4" s="1"/>
  <c r="BR11" i="4" s="1"/>
  <c r="AY10" i="4"/>
  <c r="BN10" i="4" s="1"/>
  <c r="BO10" i="4" s="1"/>
  <c r="BR10" i="4" s="1"/>
  <c r="AY15" i="4"/>
  <c r="BN15" i="4" s="1"/>
  <c r="BO15" i="4" s="1"/>
  <c r="BR15" i="4" s="1"/>
  <c r="AY24" i="4"/>
  <c r="BN24" i="4" s="1"/>
  <c r="BO24" i="4" s="1"/>
  <c r="BR24" i="4" s="1"/>
  <c r="FU24" i="4" s="1"/>
  <c r="AY23" i="4"/>
  <c r="BN23" i="4" s="1"/>
  <c r="BO23" i="4" s="1"/>
  <c r="BR23" i="4" s="1"/>
  <c r="FU23" i="4" s="1"/>
  <c r="AY27" i="4"/>
  <c r="BN27" i="4" s="1"/>
  <c r="BO27" i="4" s="1"/>
  <c r="BR27" i="4" s="1"/>
  <c r="FU27" i="4" s="1"/>
  <c r="AY26" i="4"/>
  <c r="BN26" i="4" s="1"/>
  <c r="BO26" i="4" s="1"/>
  <c r="BR26" i="4" s="1"/>
  <c r="AY5" i="4"/>
  <c r="BN5" i="4" s="1"/>
  <c r="BO5" i="4" s="1"/>
  <c r="BR5" i="4" s="1"/>
  <c r="AY7" i="4"/>
  <c r="BN7" i="4" s="1"/>
  <c r="BO7" i="4" s="1"/>
  <c r="BR7" i="4" s="1"/>
  <c r="AY6" i="4"/>
  <c r="BN6" i="4" s="1"/>
  <c r="BO6" i="4" s="1"/>
  <c r="BR6" i="4" s="1"/>
  <c r="AY28" i="4"/>
  <c r="AZ28" i="4"/>
  <c r="BN28" i="4"/>
  <c r="BO4" i="4"/>
  <c r="BR4" i="4" s="1"/>
  <c r="FT28" i="4"/>
  <c r="FW12" i="4"/>
  <c r="DR12" i="4"/>
  <c r="GL12" i="4" s="1"/>
  <c r="FW13" i="4"/>
  <c r="DR13" i="4"/>
  <c r="GL13" i="4" s="1"/>
  <c r="FW14" i="4"/>
  <c r="DR14" i="4"/>
  <c r="GL14" i="4" s="1"/>
  <c r="FW19" i="4"/>
  <c r="DR19" i="4"/>
  <c r="GL19" i="4" s="1"/>
  <c r="FW20" i="4"/>
  <c r="DR20" i="4"/>
  <c r="GL20" i="4" s="1"/>
  <c r="FW22" i="4"/>
  <c r="DR22" i="4"/>
  <c r="GL22" i="4" s="1"/>
  <c r="FW23" i="4"/>
  <c r="FW24" i="4"/>
  <c r="FW25" i="4"/>
  <c r="DR25" i="4"/>
  <c r="GL25" i="4" s="1"/>
  <c r="FW26" i="4"/>
  <c r="DR26" i="4"/>
  <c r="GL26" i="4" s="1"/>
  <c r="FW27" i="4"/>
  <c r="FW8" i="4"/>
  <c r="FW9" i="4"/>
  <c r="DR9" i="4"/>
  <c r="GL9" i="4" s="1"/>
  <c r="FW10" i="4"/>
  <c r="DR10" i="4"/>
  <c r="GL10" i="4" s="1"/>
  <c r="FW15" i="4"/>
  <c r="DR15" i="4"/>
  <c r="GL15" i="4" s="1"/>
  <c r="ES4" i="4"/>
  <c r="DK4" i="4"/>
  <c r="DP4" i="4" s="1"/>
  <c r="DJ7" i="4"/>
  <c r="ER7" i="4"/>
  <c r="ER16" i="4"/>
  <c r="ES16" i="4" s="1"/>
  <c r="DJ16" i="4"/>
  <c r="DK16" i="4" s="1"/>
  <c r="DP16" i="4" s="1"/>
  <c r="ER18" i="4"/>
  <c r="ES18" i="4" s="1"/>
  <c r="DJ18" i="4"/>
  <c r="DK18" i="4" s="1"/>
  <c r="DP18" i="4" s="1"/>
  <c r="ER17" i="4"/>
  <c r="ES17" i="4" s="1"/>
  <c r="DJ17" i="4"/>
  <c r="DK17" i="4" s="1"/>
  <c r="DP17" i="4" s="1"/>
  <c r="ER11" i="4"/>
  <c r="ES11" i="4" s="1"/>
  <c r="DJ11" i="4"/>
  <c r="DK11" i="4" s="1"/>
  <c r="DP11" i="4" s="1"/>
  <c r="ER6" i="4"/>
  <c r="ES6" i="4" s="1"/>
  <c r="DJ6" i="4"/>
  <c r="DK6" i="4" s="1"/>
  <c r="DP6" i="4" s="1"/>
  <c r="ER5" i="4"/>
  <c r="ES5" i="4" s="1"/>
  <c r="DJ5" i="4"/>
  <c r="DK5" i="4" s="1"/>
  <c r="DP5" i="4" s="1"/>
  <c r="DJ21" i="4"/>
  <c r="DK21" i="4" s="1"/>
  <c r="DP21" i="4" s="1"/>
  <c r="ER21" i="4"/>
  <c r="ES21" i="4" s="1"/>
  <c r="D13" i="4"/>
  <c r="JT8" i="2"/>
  <c r="JW8" i="2" s="1"/>
  <c r="JY8" i="2"/>
  <c r="KK16" i="1"/>
  <c r="KW16" i="1" s="1"/>
  <c r="KM16" i="1"/>
  <c r="DY27" i="2"/>
  <c r="DL27" i="2"/>
  <c r="KM10" i="1"/>
  <c r="KK10" i="1"/>
  <c r="KK25" i="1"/>
  <c r="KM25" i="1"/>
  <c r="KM7" i="1"/>
  <c r="KY7" i="1"/>
  <c r="KW7" i="1"/>
  <c r="LA7" i="1"/>
  <c r="KO7" i="1"/>
  <c r="KU7" i="1"/>
  <c r="DL17" i="2"/>
  <c r="DY17" i="2"/>
  <c r="DY8" i="2"/>
  <c r="CM8" i="2"/>
  <c r="DL8" i="2"/>
  <c r="CM25" i="2"/>
  <c r="DY25" i="2"/>
  <c r="DL25" i="2"/>
  <c r="KK18" i="1"/>
  <c r="KM18" i="1"/>
  <c r="KK19" i="1"/>
  <c r="KM19" i="1"/>
  <c r="KK26" i="1"/>
  <c r="KM26" i="1"/>
  <c r="KK24" i="1"/>
  <c r="KU24" i="1" s="1"/>
  <c r="KM24" i="1"/>
  <c r="KK11" i="1"/>
  <c r="KM11" i="1"/>
  <c r="KK20" i="1"/>
  <c r="KM20" i="1"/>
  <c r="KK23" i="1"/>
  <c r="KY23" i="1" s="1"/>
  <c r="KM23" i="1"/>
  <c r="KK13" i="1"/>
  <c r="KM13" i="1"/>
  <c r="KY15" i="1"/>
  <c r="KU15" i="1"/>
  <c r="KU22" i="1"/>
  <c r="KY22" i="1"/>
  <c r="KW22" i="1"/>
  <c r="KO22" i="1"/>
  <c r="KK9" i="1"/>
  <c r="KM9" i="1"/>
  <c r="KY16" i="1"/>
  <c r="AJ20" i="1"/>
  <c r="O9" i="1"/>
  <c r="O8" i="1"/>
  <c r="R8" i="1" s="1"/>
  <c r="KY21" i="1"/>
  <c r="LA21" i="1"/>
  <c r="KU21" i="1"/>
  <c r="KW21" i="1"/>
  <c r="KK14" i="1"/>
  <c r="KU14" i="1" s="1"/>
  <c r="KM14" i="1"/>
  <c r="CM4" i="2"/>
  <c r="DL4" i="2"/>
  <c r="DY4" i="2"/>
  <c r="CM26" i="2"/>
  <c r="DL26" i="2"/>
  <c r="DY26" i="2"/>
  <c r="CM7" i="2"/>
  <c r="DY7" i="2"/>
  <c r="KW15" i="1"/>
  <c r="KO21" i="1"/>
  <c r="LA22" i="1"/>
  <c r="KO15" i="1"/>
  <c r="KM15" i="1"/>
  <c r="KM17" i="1"/>
  <c r="O17" i="1"/>
  <c r="R17" i="1" s="1"/>
  <c r="KM21" i="1"/>
  <c r="KM22" i="1"/>
  <c r="KU17" i="1"/>
  <c r="KM12" i="1"/>
  <c r="IJ4" i="2"/>
  <c r="ID4" i="2"/>
  <c r="KW12" i="1"/>
  <c r="MD26" i="1"/>
  <c r="MG26" i="1"/>
  <c r="MG27" i="1"/>
  <c r="MD11" i="1"/>
  <c r="MG34" i="1"/>
  <c r="MG11" i="1" s="1"/>
  <c r="MD27" i="1"/>
  <c r="MN34" i="1"/>
  <c r="MO34" i="1" s="1"/>
  <c r="MP34" i="1" s="1"/>
  <c r="MD29" i="1"/>
  <c r="MG29" i="1"/>
  <c r="KK8" i="1"/>
  <c r="KM8" i="1"/>
  <c r="KO17" i="1"/>
  <c r="KO12" i="1"/>
  <c r="Q24" i="1"/>
  <c r="O11" i="1"/>
  <c r="R11" i="1" s="1"/>
  <c r="R24" i="1"/>
  <c r="LA17" i="1"/>
  <c r="KU12" i="1"/>
  <c r="CM9" i="2"/>
  <c r="LA12" i="1"/>
  <c r="KY17" i="1"/>
  <c r="DL16" i="2"/>
  <c r="CM16" i="2"/>
  <c r="CM27" i="2"/>
  <c r="DL18" i="2"/>
  <c r="CM13" i="2"/>
  <c r="DY9" i="2"/>
  <c r="CM17" i="2"/>
  <c r="CM18" i="2"/>
  <c r="DY21" i="2"/>
  <c r="CM15" i="2"/>
  <c r="DL15" i="2"/>
  <c r="CM21" i="2"/>
  <c r="CM20" i="2"/>
  <c r="DL20" i="2"/>
  <c r="DL7" i="2"/>
  <c r="DY11" i="2"/>
  <c r="CM14" i="2"/>
  <c r="CM11" i="2"/>
  <c r="DY13" i="2"/>
  <c r="DL22" i="2"/>
  <c r="DY5" i="2"/>
  <c r="CM22" i="2"/>
  <c r="DL5" i="2"/>
  <c r="DL6" i="2"/>
  <c r="DL10" i="2"/>
  <c r="CM10" i="2"/>
  <c r="DL14" i="2"/>
  <c r="P28" i="2"/>
  <c r="DY24" i="2"/>
  <c r="CM24" i="2"/>
  <c r="DY23" i="2"/>
  <c r="DY12" i="2"/>
  <c r="DL23" i="2"/>
  <c r="CM12" i="2"/>
  <c r="DY6" i="2"/>
  <c r="AJ21" i="1"/>
  <c r="KZ28" i="1"/>
  <c r="IW27" i="1"/>
  <c r="K20" i="1"/>
  <c r="LB18" i="1"/>
  <c r="LM17" i="1"/>
  <c r="LP17" i="1" s="1"/>
  <c r="IZ17" i="1"/>
  <c r="MD9" i="1"/>
  <c r="MN9" i="1"/>
  <c r="MO9" i="1" s="1"/>
  <c r="MP9" i="1" s="1"/>
  <c r="F12" i="1"/>
  <c r="G9" i="1"/>
  <c r="CG9" i="1" s="1"/>
  <c r="CH9" i="1" s="1"/>
  <c r="CF9" i="1"/>
  <c r="CI9" i="1" s="1"/>
  <c r="CJ9" i="1" s="1"/>
  <c r="L12" i="1"/>
  <c r="IU27" i="1"/>
  <c r="KX28" i="1"/>
  <c r="K18" i="1"/>
  <c r="IZ20" i="1"/>
  <c r="LB21" i="1"/>
  <c r="LM20" i="1"/>
  <c r="LP20" i="1" s="1"/>
  <c r="C7" i="2"/>
  <c r="MN17" i="1"/>
  <c r="MO17" i="1" s="1"/>
  <c r="MP17" i="1" s="1"/>
  <c r="MF17" i="1"/>
  <c r="MD17" i="1"/>
  <c r="Q9" i="1"/>
  <c r="Q16" i="1"/>
  <c r="P16" i="1"/>
  <c r="MC16" i="1"/>
  <c r="O16" i="1"/>
  <c r="R16" i="1" s="1"/>
  <c r="IZ16" i="1"/>
  <c r="LM16" i="1"/>
  <c r="LP16" i="1" s="1"/>
  <c r="LB17" i="1"/>
  <c r="DN28" i="2"/>
  <c r="H12" i="1"/>
  <c r="J9" i="1"/>
  <c r="I9" i="1"/>
  <c r="M9" i="1"/>
  <c r="IS27" i="1"/>
  <c r="KV28" i="1"/>
  <c r="JM8" i="2"/>
  <c r="JL8" i="2"/>
  <c r="ET28" i="2"/>
  <c r="LM12" i="1"/>
  <c r="LP12" i="1" s="1"/>
  <c r="LB13" i="1"/>
  <c r="IZ12" i="1"/>
  <c r="IZ21" i="1"/>
  <c r="LM21" i="1"/>
  <c r="LP21" i="1" s="1"/>
  <c r="LB22" i="1"/>
  <c r="CK28" i="2"/>
  <c r="MC7" i="1"/>
  <c r="Q7" i="1"/>
  <c r="P7" i="1"/>
  <c r="O7" i="1"/>
  <c r="R7" i="1" s="1"/>
  <c r="IQ27" i="1"/>
  <c r="K19" i="1"/>
  <c r="KT28" i="1"/>
  <c r="IY26" i="1"/>
  <c r="KL28" i="1"/>
  <c r="II27" i="1"/>
  <c r="AH15" i="1" s="1"/>
  <c r="K14" i="1"/>
  <c r="LB20" i="1"/>
  <c r="LM19" i="1"/>
  <c r="LP19" i="1" s="1"/>
  <c r="IZ19" i="1"/>
  <c r="BP28" i="2"/>
  <c r="LB15" i="1"/>
  <c r="IZ14" i="1"/>
  <c r="LM14" i="1"/>
  <c r="LP14" i="1" s="1"/>
  <c r="G20" i="1"/>
  <c r="CG18" i="1" s="1"/>
  <c r="CH18" i="1" s="1"/>
  <c r="CF18" i="1"/>
  <c r="CI18" i="1" s="1"/>
  <c r="CJ18" i="1" s="1"/>
  <c r="J20" i="1"/>
  <c r="F21" i="1"/>
  <c r="IZ8" i="1"/>
  <c r="LB9" i="1"/>
  <c r="LM8" i="1"/>
  <c r="LB23" i="1"/>
  <c r="IZ22" i="1"/>
  <c r="LM22" i="1"/>
  <c r="LP22" i="1" s="1"/>
  <c r="LM13" i="1"/>
  <c r="LP13" i="1" s="1"/>
  <c r="IZ13" i="1"/>
  <c r="LB14" i="1"/>
  <c r="LB11" i="1"/>
  <c r="IZ10" i="1"/>
  <c r="LM10" i="1"/>
  <c r="LP10" i="1" s="1"/>
  <c r="MF8" i="1"/>
  <c r="MD8" i="1"/>
  <c r="MN8" i="1"/>
  <c r="MO8" i="1" s="1"/>
  <c r="MP8" i="1" s="1"/>
  <c r="KN28" i="1"/>
  <c r="IK27" i="1"/>
  <c r="AI15" i="1" s="1"/>
  <c r="AI17" i="1" s="1"/>
  <c r="K15" i="1"/>
  <c r="MD30" i="9" l="1"/>
  <c r="MN30" i="9"/>
  <c r="MO30" i="9" s="1"/>
  <c r="MP30" i="9" s="1"/>
  <c r="MC32" i="9"/>
  <c r="MN32" i="9" s="1"/>
  <c r="MO32" i="9" s="1"/>
  <c r="MF9" i="9"/>
  <c r="MG28" i="9"/>
  <c r="MF30" i="9"/>
  <c r="MG30" i="9" s="1"/>
  <c r="BS4" i="10"/>
  <c r="GJ4" i="10" s="1"/>
  <c r="FU4" i="10"/>
  <c r="FU25" i="10"/>
  <c r="BS25" i="10"/>
  <c r="GJ25" i="10" s="1"/>
  <c r="FU18" i="10"/>
  <c r="BS18" i="10"/>
  <c r="GJ18" i="10" s="1"/>
  <c r="FU15" i="10"/>
  <c r="BS15" i="10"/>
  <c r="GJ15" i="10" s="1"/>
  <c r="BS26" i="10"/>
  <c r="GJ26" i="10" s="1"/>
  <c r="FU26" i="10"/>
  <c r="FU19" i="10"/>
  <c r="BS19" i="10"/>
  <c r="GJ19" i="10" s="1"/>
  <c r="FU17" i="10"/>
  <c r="BS17" i="10"/>
  <c r="GJ17" i="10" s="1"/>
  <c r="FU20" i="10"/>
  <c r="BS20" i="10"/>
  <c r="GJ20" i="10" s="1"/>
  <c r="FU21" i="10"/>
  <c r="BS21" i="10"/>
  <c r="GJ21" i="10" s="1"/>
  <c r="FU14" i="10"/>
  <c r="BS14" i="10"/>
  <c r="GJ14" i="10" s="1"/>
  <c r="FU10" i="10"/>
  <c r="BS10" i="10"/>
  <c r="GJ10" i="10" s="1"/>
  <c r="FU9" i="10"/>
  <c r="BS9" i="10"/>
  <c r="GJ9" i="10" s="1"/>
  <c r="BS7" i="10"/>
  <c r="GJ7" i="10" s="1"/>
  <c r="FU7" i="10"/>
  <c r="FU6" i="10"/>
  <c r="BS6" i="10"/>
  <c r="GJ6" i="10" s="1"/>
  <c r="FU22" i="10"/>
  <c r="BS22" i="10"/>
  <c r="GJ22" i="10" s="1"/>
  <c r="BS16" i="10"/>
  <c r="GJ16" i="10" s="1"/>
  <c r="FU16" i="10"/>
  <c r="BS13" i="10"/>
  <c r="GJ13" i="10" s="1"/>
  <c r="FU13" i="10"/>
  <c r="BS12" i="10"/>
  <c r="GJ12" i="10" s="1"/>
  <c r="FU12" i="10"/>
  <c r="FU11" i="10"/>
  <c r="BS11" i="10"/>
  <c r="GJ11" i="10" s="1"/>
  <c r="GI28" i="10"/>
  <c r="DR9" i="10"/>
  <c r="GL9" i="10" s="1"/>
  <c r="FW9" i="10"/>
  <c r="FW26" i="10"/>
  <c r="DR26" i="10"/>
  <c r="GL26" i="10" s="1"/>
  <c r="FW20" i="10"/>
  <c r="DR20" i="10"/>
  <c r="GL20" i="10" s="1"/>
  <c r="FW5" i="10"/>
  <c r="DR5" i="10"/>
  <c r="GL5" i="10" s="1"/>
  <c r="FW6" i="10"/>
  <c r="DR6" i="10"/>
  <c r="GL6" i="10" s="1"/>
  <c r="DR11" i="10"/>
  <c r="GL11" i="10" s="1"/>
  <c r="FW11" i="10"/>
  <c r="FW12" i="10"/>
  <c r="DR12" i="10"/>
  <c r="GL12" i="10" s="1"/>
  <c r="FW25" i="10"/>
  <c r="DR25" i="10"/>
  <c r="GL25" i="10" s="1"/>
  <c r="FW7" i="10"/>
  <c r="DR7" i="10"/>
  <c r="GL7" i="10" s="1"/>
  <c r="FW24" i="10"/>
  <c r="FW13" i="10"/>
  <c r="DR13" i="10"/>
  <c r="GL13" i="10" s="1"/>
  <c r="FW18" i="10"/>
  <c r="DR18" i="10"/>
  <c r="GL18" i="10" s="1"/>
  <c r="DR16" i="10"/>
  <c r="GL16" i="10" s="1"/>
  <c r="FW16" i="10"/>
  <c r="FW14" i="10"/>
  <c r="DR14" i="10"/>
  <c r="GL14" i="10" s="1"/>
  <c r="FW8" i="10"/>
  <c r="FW19" i="10"/>
  <c r="DR19" i="10"/>
  <c r="GL19" i="10" s="1"/>
  <c r="FW21" i="10"/>
  <c r="DR21" i="10"/>
  <c r="GL21" i="10" s="1"/>
  <c r="ER28" i="10"/>
  <c r="ES4" i="10"/>
  <c r="DK4" i="10"/>
  <c r="DP4" i="10" s="1"/>
  <c r="DJ28" i="10"/>
  <c r="DR15" i="10"/>
  <c r="GL15" i="10" s="1"/>
  <c r="FW15" i="10"/>
  <c r="FW22" i="10"/>
  <c r="DR22" i="10"/>
  <c r="GL22" i="10" s="1"/>
  <c r="FW27" i="10"/>
  <c r="FW10" i="10"/>
  <c r="DR10" i="10"/>
  <c r="GL10" i="10" s="1"/>
  <c r="FW23" i="10"/>
  <c r="DR17" i="10"/>
  <c r="GL17" i="10" s="1"/>
  <c r="FW17" i="10"/>
  <c r="BO5" i="10"/>
  <c r="BR5" i="10" s="1"/>
  <c r="BN28" i="10"/>
  <c r="BS4" i="8"/>
  <c r="GJ4" i="8" s="1"/>
  <c r="FU4" i="8"/>
  <c r="FU25" i="8"/>
  <c r="BS25" i="8"/>
  <c r="GJ25" i="8" s="1"/>
  <c r="FU22" i="8"/>
  <c r="BS22" i="8"/>
  <c r="GJ22" i="8" s="1"/>
  <c r="FU20" i="8"/>
  <c r="BS20" i="8"/>
  <c r="GJ20" i="8" s="1"/>
  <c r="FU19" i="8"/>
  <c r="BS19" i="8"/>
  <c r="GJ19" i="8" s="1"/>
  <c r="FU18" i="8"/>
  <c r="BS18" i="8"/>
  <c r="GJ18" i="8" s="1"/>
  <c r="FU9" i="8"/>
  <c r="BS9" i="8"/>
  <c r="GJ9" i="8" s="1"/>
  <c r="BS7" i="8"/>
  <c r="GJ7" i="8" s="1"/>
  <c r="FU7" i="8"/>
  <c r="FU14" i="8"/>
  <c r="BS14" i="8"/>
  <c r="GJ14" i="8" s="1"/>
  <c r="FU12" i="8"/>
  <c r="BS12" i="8"/>
  <c r="GJ12" i="8" s="1"/>
  <c r="BS17" i="8"/>
  <c r="GJ17" i="8" s="1"/>
  <c r="FU17" i="8"/>
  <c r="FU21" i="8"/>
  <c r="BS21" i="8"/>
  <c r="GJ21" i="8" s="1"/>
  <c r="BS16" i="8"/>
  <c r="GJ16" i="8" s="1"/>
  <c r="FU16" i="8"/>
  <c r="FU15" i="8"/>
  <c r="BS15" i="8"/>
  <c r="GJ15" i="8" s="1"/>
  <c r="BS13" i="8"/>
  <c r="GJ13" i="8" s="1"/>
  <c r="FU13" i="8"/>
  <c r="FU11" i="8"/>
  <c r="BS11" i="8"/>
  <c r="GJ11" i="8" s="1"/>
  <c r="FU10" i="8"/>
  <c r="BS10" i="8"/>
  <c r="GJ10" i="8" s="1"/>
  <c r="FU6" i="8"/>
  <c r="BS6" i="8"/>
  <c r="GJ6" i="8" s="1"/>
  <c r="BS26" i="8"/>
  <c r="GJ26" i="8" s="1"/>
  <c r="FU26" i="8"/>
  <c r="GI28" i="8"/>
  <c r="MF7" i="7"/>
  <c r="MG7" i="7" s="1"/>
  <c r="MG9" i="7"/>
  <c r="MF12" i="7"/>
  <c r="MG12" i="7" s="1"/>
  <c r="MG28" i="7"/>
  <c r="MF30" i="7"/>
  <c r="CQ12" i="8"/>
  <c r="GK12" i="8" s="1"/>
  <c r="FV12" i="8"/>
  <c r="FV5" i="8"/>
  <c r="CQ5" i="8"/>
  <c r="GK5" i="8" s="1"/>
  <c r="CQ4" i="8"/>
  <c r="GK4" i="8" s="1"/>
  <c r="FV4" i="8"/>
  <c r="CO28" i="8"/>
  <c r="CP4" i="8"/>
  <c r="CQ16" i="8"/>
  <c r="GK16" i="8" s="1"/>
  <c r="FV16" i="8"/>
  <c r="CP16" i="8"/>
  <c r="FV9" i="8"/>
  <c r="CQ9" i="8"/>
  <c r="GK9" i="8" s="1"/>
  <c r="CP9" i="8"/>
  <c r="FV7" i="8"/>
  <c r="CQ7" i="8"/>
  <c r="GK7" i="8" s="1"/>
  <c r="CP7" i="8"/>
  <c r="FV6" i="8"/>
  <c r="CQ6" i="8"/>
  <c r="GK6" i="8" s="1"/>
  <c r="CP6" i="8"/>
  <c r="FV27" i="8"/>
  <c r="CP27" i="8"/>
  <c r="CQ21" i="8"/>
  <c r="GK21" i="8" s="1"/>
  <c r="FV21" i="8"/>
  <c r="CP21" i="8"/>
  <c r="CQ20" i="8"/>
  <c r="GK20" i="8" s="1"/>
  <c r="FV20" i="8"/>
  <c r="CP20" i="8"/>
  <c r="FV19" i="8"/>
  <c r="CQ19" i="8"/>
  <c r="GK19" i="8" s="1"/>
  <c r="CP19" i="8"/>
  <c r="FV15" i="8"/>
  <c r="CQ15" i="8"/>
  <c r="GK15" i="8" s="1"/>
  <c r="CP15" i="8"/>
  <c r="CQ17" i="8"/>
  <c r="GK17" i="8" s="1"/>
  <c r="FV17" i="8"/>
  <c r="CP17" i="8"/>
  <c r="FV14" i="8"/>
  <c r="CQ14" i="8"/>
  <c r="GK14" i="8" s="1"/>
  <c r="CP14" i="8"/>
  <c r="CQ13" i="8"/>
  <c r="GK13" i="8" s="1"/>
  <c r="FV13" i="8"/>
  <c r="CP13" i="8"/>
  <c r="FV8" i="8"/>
  <c r="CP8" i="8"/>
  <c r="FV23" i="8"/>
  <c r="CP23" i="8"/>
  <c r="FV25" i="8"/>
  <c r="CQ25" i="8"/>
  <c r="GK25" i="8" s="1"/>
  <c r="CP25" i="8"/>
  <c r="FV22" i="8"/>
  <c r="CQ22" i="8"/>
  <c r="GK22" i="8" s="1"/>
  <c r="CP22" i="8"/>
  <c r="FV18" i="8"/>
  <c r="CQ18" i="8"/>
  <c r="GK18" i="8" s="1"/>
  <c r="CP18" i="8"/>
  <c r="FV11" i="8"/>
  <c r="CQ11" i="8"/>
  <c r="GK11" i="8" s="1"/>
  <c r="CP11" i="8"/>
  <c r="FV10" i="8"/>
  <c r="CQ10" i="8"/>
  <c r="GK10" i="8" s="1"/>
  <c r="CP10" i="8"/>
  <c r="FV26" i="8"/>
  <c r="CQ26" i="8"/>
  <c r="GK26" i="8" s="1"/>
  <c r="CP26" i="8"/>
  <c r="FV24" i="8"/>
  <c r="CP24" i="8"/>
  <c r="BO5" i="8"/>
  <c r="BR5" i="8" s="1"/>
  <c r="BN28" i="8"/>
  <c r="MF9" i="5"/>
  <c r="MC32" i="5"/>
  <c r="MN32" i="5" s="1"/>
  <c r="MO32" i="5" s="1"/>
  <c r="MN30" i="5"/>
  <c r="MO30" i="5" s="1"/>
  <c r="MP30" i="5" s="1"/>
  <c r="MD30" i="5"/>
  <c r="ES4" i="6"/>
  <c r="DK4" i="6"/>
  <c r="DP4" i="6" s="1"/>
  <c r="DR7" i="6"/>
  <c r="GL7" i="6" s="1"/>
  <c r="FW7" i="6"/>
  <c r="DR11" i="6"/>
  <c r="GL11" i="6" s="1"/>
  <c r="FW11" i="6"/>
  <c r="FW23" i="6"/>
  <c r="DR15" i="6"/>
  <c r="GL15" i="6" s="1"/>
  <c r="FW15" i="6"/>
  <c r="FW14" i="6"/>
  <c r="DR14" i="6"/>
  <c r="GL14" i="6" s="1"/>
  <c r="DR17" i="6"/>
  <c r="GL17" i="6" s="1"/>
  <c r="FW17" i="6"/>
  <c r="FW24" i="6"/>
  <c r="FW6" i="6"/>
  <c r="DR6" i="6"/>
  <c r="GL6" i="6" s="1"/>
  <c r="DR9" i="6"/>
  <c r="GL9" i="6" s="1"/>
  <c r="FW9" i="6"/>
  <c r="FW8" i="6"/>
  <c r="DR10" i="6"/>
  <c r="GL10" i="6" s="1"/>
  <c r="FW10" i="6"/>
  <c r="DR18" i="6"/>
  <c r="GL18" i="6" s="1"/>
  <c r="FW18" i="6"/>
  <c r="FW5" i="6"/>
  <c r="DR5" i="6"/>
  <c r="GL5" i="6" s="1"/>
  <c r="DR26" i="6"/>
  <c r="GL26" i="6" s="1"/>
  <c r="FW26" i="6"/>
  <c r="DR19" i="6"/>
  <c r="GL19" i="6" s="1"/>
  <c r="FW19" i="6"/>
  <c r="DR22" i="6"/>
  <c r="GL22" i="6" s="1"/>
  <c r="FW22" i="6"/>
  <c r="FW12" i="6"/>
  <c r="DR12" i="6"/>
  <c r="GL12" i="6" s="1"/>
  <c r="FW16" i="6"/>
  <c r="DR16" i="6"/>
  <c r="GL16" i="6" s="1"/>
  <c r="FW13" i="6"/>
  <c r="DR13" i="6"/>
  <c r="GL13" i="6" s="1"/>
  <c r="DR25" i="6"/>
  <c r="GL25" i="6" s="1"/>
  <c r="FW25" i="6"/>
  <c r="FW21" i="6"/>
  <c r="DR21" i="6"/>
  <c r="GL21" i="6" s="1"/>
  <c r="DR20" i="6"/>
  <c r="GL20" i="6" s="1"/>
  <c r="FW20" i="6"/>
  <c r="BS5" i="6"/>
  <c r="GJ5" i="6" s="1"/>
  <c r="FU5" i="6"/>
  <c r="FU28" i="6" s="1"/>
  <c r="ER27" i="6"/>
  <c r="DJ27" i="6"/>
  <c r="MD30" i="3"/>
  <c r="MN30" i="3"/>
  <c r="MO30" i="3" s="1"/>
  <c r="MP30" i="3" s="1"/>
  <c r="MC32" i="3"/>
  <c r="MN32" i="3" s="1"/>
  <c r="MO32" i="3" s="1"/>
  <c r="MF9" i="3"/>
  <c r="MG28" i="3"/>
  <c r="MF30" i="3"/>
  <c r="MG30" i="3" s="1"/>
  <c r="FU9" i="4"/>
  <c r="BS9" i="4"/>
  <c r="GJ9" i="4" s="1"/>
  <c r="FU25" i="4"/>
  <c r="BS25" i="4"/>
  <c r="GJ25" i="4" s="1"/>
  <c r="FU22" i="4"/>
  <c r="BS22" i="4"/>
  <c r="GJ22" i="4" s="1"/>
  <c r="FU21" i="4"/>
  <c r="BS21" i="4"/>
  <c r="GJ21" i="4" s="1"/>
  <c r="BS20" i="4"/>
  <c r="GJ20" i="4" s="1"/>
  <c r="FU20" i="4"/>
  <c r="FU19" i="4"/>
  <c r="BS19" i="4"/>
  <c r="GJ19" i="4" s="1"/>
  <c r="X8" i="4"/>
  <c r="FU18" i="4"/>
  <c r="BS18" i="4"/>
  <c r="GJ18" i="4" s="1"/>
  <c r="FU17" i="4"/>
  <c r="BS17" i="4"/>
  <c r="GJ17" i="4" s="1"/>
  <c r="FU16" i="4"/>
  <c r="BS16" i="4"/>
  <c r="GJ16" i="4" s="1"/>
  <c r="BS14" i="4"/>
  <c r="GJ14" i="4" s="1"/>
  <c r="FU14" i="4"/>
  <c r="FU13" i="4"/>
  <c r="BS13" i="4"/>
  <c r="GJ13" i="4" s="1"/>
  <c r="FU12" i="4"/>
  <c r="BS12" i="4"/>
  <c r="GJ12" i="4" s="1"/>
  <c r="FU11" i="4"/>
  <c r="BS11" i="4"/>
  <c r="GJ11" i="4" s="1"/>
  <c r="FU10" i="4"/>
  <c r="BS10" i="4"/>
  <c r="GJ10" i="4" s="1"/>
  <c r="FU15" i="4"/>
  <c r="BS15" i="4"/>
  <c r="GJ15" i="4" s="1"/>
  <c r="X24" i="4"/>
  <c r="X23" i="4"/>
  <c r="X27" i="4"/>
  <c r="BS26" i="4"/>
  <c r="GJ26" i="4" s="1"/>
  <c r="FU26" i="4"/>
  <c r="BS5" i="4"/>
  <c r="GJ5" i="4" s="1"/>
  <c r="FU5" i="4"/>
  <c r="FU7" i="4"/>
  <c r="BS7" i="4"/>
  <c r="GJ7" i="4" s="1"/>
  <c r="BS6" i="4"/>
  <c r="GJ6" i="4" s="1"/>
  <c r="FU6" i="4"/>
  <c r="BS4" i="4"/>
  <c r="GJ4" i="4" s="1"/>
  <c r="FU4" i="4"/>
  <c r="GI28" i="4"/>
  <c r="DR4" i="4"/>
  <c r="GL4" i="4" s="1"/>
  <c r="FW4" i="4"/>
  <c r="DP28" i="4"/>
  <c r="FW16" i="4"/>
  <c r="DR16" i="4"/>
  <c r="GL16" i="4" s="1"/>
  <c r="DQ16" i="4"/>
  <c r="DR18" i="4"/>
  <c r="GL18" i="4" s="1"/>
  <c r="FW18" i="4"/>
  <c r="DQ18" i="4"/>
  <c r="FW17" i="4"/>
  <c r="DR17" i="4"/>
  <c r="GL17" i="4" s="1"/>
  <c r="FW11" i="4"/>
  <c r="DR11" i="4"/>
  <c r="GL11" i="4" s="1"/>
  <c r="DQ11" i="4"/>
  <c r="DR6" i="4"/>
  <c r="GL6" i="4" s="1"/>
  <c r="FW6" i="4"/>
  <c r="DQ6" i="4"/>
  <c r="FW5" i="4"/>
  <c r="DQ5" i="4"/>
  <c r="DR5" i="4"/>
  <c r="GL5" i="4" s="1"/>
  <c r="DR21" i="4"/>
  <c r="GL21" i="4" s="1"/>
  <c r="FW21" i="4"/>
  <c r="DQ21" i="4"/>
  <c r="DK7" i="4"/>
  <c r="DP7" i="4" s="1"/>
  <c r="DJ28" i="4"/>
  <c r="ES7" i="4"/>
  <c r="ER28" i="4"/>
  <c r="KO16" i="1"/>
  <c r="KU16" i="1"/>
  <c r="LA16" i="1"/>
  <c r="KY10" i="1"/>
  <c r="KO10" i="1"/>
  <c r="KW10" i="1"/>
  <c r="LA10" i="1"/>
  <c r="KU10" i="1"/>
  <c r="KY25" i="1"/>
  <c r="KW25" i="1"/>
  <c r="KU25" i="1"/>
  <c r="KU23" i="1"/>
  <c r="KO23" i="1"/>
  <c r="KO25" i="1"/>
  <c r="LA25" i="1"/>
  <c r="LC7" i="1"/>
  <c r="LC21" i="1"/>
  <c r="KY11" i="1"/>
  <c r="KO11" i="1"/>
  <c r="LA14" i="1"/>
  <c r="KW14" i="1"/>
  <c r="LC22" i="1"/>
  <c r="LC15" i="1"/>
  <c r="LA18" i="1"/>
  <c r="KO18" i="1"/>
  <c r="KY18" i="1"/>
  <c r="KU18" i="1"/>
  <c r="KW18" i="1"/>
  <c r="LA24" i="1"/>
  <c r="KO24" i="1"/>
  <c r="KU20" i="1"/>
  <c r="KO20" i="1"/>
  <c r="LA23" i="1"/>
  <c r="KW23" i="1"/>
  <c r="KO14" i="1"/>
  <c r="KY14" i="1"/>
  <c r="KW24" i="1"/>
  <c r="KY24" i="1"/>
  <c r="LA11" i="1"/>
  <c r="KU11" i="1"/>
  <c r="KW11" i="1"/>
  <c r="KY20" i="1"/>
  <c r="KW20" i="1"/>
  <c r="LA20" i="1"/>
  <c r="KY13" i="1"/>
  <c r="KO13" i="1"/>
  <c r="LA13" i="1"/>
  <c r="KU13" i="1"/>
  <c r="KW13" i="1"/>
  <c r="KU9" i="1"/>
  <c r="KY9" i="1"/>
  <c r="LA9" i="1"/>
  <c r="KO9" i="1"/>
  <c r="KW9" i="1"/>
  <c r="LC12" i="1"/>
  <c r="MG17" i="1"/>
  <c r="KY19" i="1"/>
  <c r="LA19" i="1"/>
  <c r="KW19" i="1"/>
  <c r="KO19" i="1"/>
  <c r="KU19" i="1"/>
  <c r="KU26" i="1"/>
  <c r="KY26" i="1"/>
  <c r="KO26" i="1"/>
  <c r="LA26" i="1"/>
  <c r="KW26" i="1"/>
  <c r="LC17" i="1"/>
  <c r="KM27" i="1"/>
  <c r="IU16" i="2"/>
  <c r="IU9" i="2"/>
  <c r="IU4" i="2"/>
  <c r="IU6" i="2"/>
  <c r="IU21" i="2"/>
  <c r="IU25" i="2"/>
  <c r="IU18" i="2"/>
  <c r="IU7" i="2"/>
  <c r="IU22" i="2"/>
  <c r="IU14" i="2"/>
  <c r="IU19" i="2"/>
  <c r="IU11" i="2"/>
  <c r="IU13" i="2"/>
  <c r="IU10" i="2"/>
  <c r="IU26" i="2"/>
  <c r="IU12" i="2"/>
  <c r="IU20" i="2"/>
  <c r="IU5" i="2"/>
  <c r="KO8" i="1"/>
  <c r="KW8" i="1"/>
  <c r="LA8" i="1"/>
  <c r="KU8" i="1"/>
  <c r="KY8" i="1"/>
  <c r="DL28" i="2"/>
  <c r="DY28" i="2"/>
  <c r="CM28" i="2"/>
  <c r="R9" i="1"/>
  <c r="MD7" i="1"/>
  <c r="MN7" i="1"/>
  <c r="MO7" i="1" s="1"/>
  <c r="MP7" i="1" s="1"/>
  <c r="F22" i="1"/>
  <c r="G12" i="1"/>
  <c r="CG11" i="1" s="1"/>
  <c r="CH11" i="1" s="1"/>
  <c r="CF11" i="1"/>
  <c r="CI11" i="1" s="1"/>
  <c r="CJ11" i="1" s="1"/>
  <c r="C6" i="2"/>
  <c r="MN16" i="1"/>
  <c r="MO16" i="1" s="1"/>
  <c r="MP16" i="1" s="1"/>
  <c r="MD16" i="1"/>
  <c r="MF16" i="1"/>
  <c r="MG16" i="1" s="1"/>
  <c r="MG8" i="1"/>
  <c r="LP8" i="1"/>
  <c r="LM26" i="1"/>
  <c r="M15" i="1"/>
  <c r="L15" i="1"/>
  <c r="H22" i="1"/>
  <c r="J12" i="1"/>
  <c r="I12" i="1"/>
  <c r="BZ9" i="2"/>
  <c r="M12" i="1"/>
  <c r="M19" i="1"/>
  <c r="L19" i="1"/>
  <c r="M18" i="1"/>
  <c r="L18" i="1"/>
  <c r="M20" i="1"/>
  <c r="L20" i="1"/>
  <c r="AH19" i="1"/>
  <c r="AH16" i="1"/>
  <c r="LB28" i="1"/>
  <c r="IZ26" i="1"/>
  <c r="IY27" i="1"/>
  <c r="AI19" i="1"/>
  <c r="AI16" i="1"/>
  <c r="CF19" i="1"/>
  <c r="CI19" i="1" s="1"/>
  <c r="CJ19" i="1" s="1"/>
  <c r="G21" i="1"/>
  <c r="CG19" i="1" s="1"/>
  <c r="CH19" i="1" s="1"/>
  <c r="J21" i="1"/>
  <c r="AH17" i="1"/>
  <c r="K21" i="1"/>
  <c r="L14" i="1"/>
  <c r="M14" i="1"/>
  <c r="MF7" i="9" l="1"/>
  <c r="MG7" i="9" s="1"/>
  <c r="MG9" i="9"/>
  <c r="MF12" i="9"/>
  <c r="MG12" i="9" s="1"/>
  <c r="MF32" i="9"/>
  <c r="X25" i="10"/>
  <c r="X18" i="10"/>
  <c r="X15" i="10"/>
  <c r="X26" i="10"/>
  <c r="X19" i="10"/>
  <c r="X17" i="10"/>
  <c r="X20" i="10"/>
  <c r="X21" i="10"/>
  <c r="X14" i="10"/>
  <c r="X10" i="10"/>
  <c r="X9" i="10"/>
  <c r="X7" i="10"/>
  <c r="X6" i="10"/>
  <c r="X22" i="10"/>
  <c r="X16" i="10"/>
  <c r="X13" i="10"/>
  <c r="X12" i="10"/>
  <c r="X11" i="10"/>
  <c r="FW4" i="10"/>
  <c r="DR4" i="10"/>
  <c r="GL4" i="10" s="1"/>
  <c r="DP28" i="10"/>
  <c r="DQ4" i="10" s="1"/>
  <c r="BS5" i="10"/>
  <c r="GJ5" i="10" s="1"/>
  <c r="FU5" i="10"/>
  <c r="FU28" i="10" s="1"/>
  <c r="X24" i="10"/>
  <c r="X8" i="10"/>
  <c r="X27" i="10"/>
  <c r="X23" i="10"/>
  <c r="FU28" i="8"/>
  <c r="DJ4" i="8"/>
  <c r="ER4" i="8"/>
  <c r="CP28" i="8"/>
  <c r="ER16" i="8"/>
  <c r="ES16" i="8" s="1"/>
  <c r="DJ16" i="8"/>
  <c r="DK16" i="8" s="1"/>
  <c r="DP16" i="8" s="1"/>
  <c r="DJ9" i="8"/>
  <c r="DK9" i="8" s="1"/>
  <c r="DP9" i="8" s="1"/>
  <c r="ER9" i="8"/>
  <c r="ES9" i="8" s="1"/>
  <c r="DJ7" i="8"/>
  <c r="DK7" i="8" s="1"/>
  <c r="DP7" i="8" s="1"/>
  <c r="ER7" i="8"/>
  <c r="ES7" i="8" s="1"/>
  <c r="ER6" i="8"/>
  <c r="ES6" i="8" s="1"/>
  <c r="DJ6" i="8"/>
  <c r="DK6" i="8" s="1"/>
  <c r="DP6" i="8" s="1"/>
  <c r="DJ27" i="8"/>
  <c r="DK27" i="8" s="1"/>
  <c r="DP27" i="8" s="1"/>
  <c r="ER27" i="8"/>
  <c r="ES27" i="8" s="1"/>
  <c r="DJ21" i="8"/>
  <c r="DK21" i="8" s="1"/>
  <c r="DP21" i="8" s="1"/>
  <c r="ER21" i="8"/>
  <c r="ES21" i="8" s="1"/>
  <c r="ER20" i="8"/>
  <c r="ES20" i="8" s="1"/>
  <c r="DJ20" i="8"/>
  <c r="DK20" i="8" s="1"/>
  <c r="DP20" i="8" s="1"/>
  <c r="DJ19" i="8"/>
  <c r="DK19" i="8" s="1"/>
  <c r="DP19" i="8" s="1"/>
  <c r="ER19" i="8"/>
  <c r="ES19" i="8" s="1"/>
  <c r="DJ15" i="8"/>
  <c r="DK15" i="8" s="1"/>
  <c r="DP15" i="8" s="1"/>
  <c r="ER15" i="8"/>
  <c r="ES15" i="8" s="1"/>
  <c r="DJ17" i="8"/>
  <c r="DK17" i="8" s="1"/>
  <c r="DP17" i="8" s="1"/>
  <c r="ER17" i="8"/>
  <c r="ES17" i="8" s="1"/>
  <c r="ER14" i="8"/>
  <c r="ES14" i="8" s="1"/>
  <c r="DJ14" i="8"/>
  <c r="DK14" i="8" s="1"/>
  <c r="DP14" i="8" s="1"/>
  <c r="ER13" i="8"/>
  <c r="ES13" i="8" s="1"/>
  <c r="DJ13" i="8"/>
  <c r="DK13" i="8" s="1"/>
  <c r="DP13" i="8" s="1"/>
  <c r="DJ8" i="8"/>
  <c r="DK8" i="8" s="1"/>
  <c r="DP8" i="8" s="1"/>
  <c r="ER8" i="8"/>
  <c r="ES8" i="8" s="1"/>
  <c r="DJ23" i="8"/>
  <c r="DK23" i="8" s="1"/>
  <c r="DP23" i="8" s="1"/>
  <c r="ER23" i="8"/>
  <c r="ES23" i="8" s="1"/>
  <c r="DJ25" i="8"/>
  <c r="DK25" i="8" s="1"/>
  <c r="DP25" i="8" s="1"/>
  <c r="ER25" i="8"/>
  <c r="ES25" i="8" s="1"/>
  <c r="DJ22" i="8"/>
  <c r="DK22" i="8" s="1"/>
  <c r="DP22" i="8" s="1"/>
  <c r="ER22" i="8"/>
  <c r="ES22" i="8" s="1"/>
  <c r="DJ18" i="8"/>
  <c r="DK18" i="8" s="1"/>
  <c r="DP18" i="8" s="1"/>
  <c r="ER18" i="8"/>
  <c r="ES18" i="8" s="1"/>
  <c r="DJ11" i="8"/>
  <c r="DK11" i="8" s="1"/>
  <c r="DP11" i="8" s="1"/>
  <c r="ER11" i="8"/>
  <c r="ES11" i="8" s="1"/>
  <c r="DJ10" i="8"/>
  <c r="DK10" i="8" s="1"/>
  <c r="DP10" i="8" s="1"/>
  <c r="ER10" i="8"/>
  <c r="ES10" i="8" s="1"/>
  <c r="DJ26" i="8"/>
  <c r="DK26" i="8" s="1"/>
  <c r="DP26" i="8" s="1"/>
  <c r="ER26" i="8"/>
  <c r="ES26" i="8" s="1"/>
  <c r="DJ24" i="8"/>
  <c r="DK24" i="8" s="1"/>
  <c r="DP24" i="8" s="1"/>
  <c r="ER24" i="8"/>
  <c r="ES24" i="8" s="1"/>
  <c r="BS5" i="8"/>
  <c r="GJ5" i="8" s="1"/>
  <c r="FU5" i="8"/>
  <c r="FV28" i="8"/>
  <c r="GK28" i="8" s="1"/>
  <c r="MG30" i="7"/>
  <c r="MF32" i="7"/>
  <c r="CQ28" i="8"/>
  <c r="CP12" i="8"/>
  <c r="CP5" i="8"/>
  <c r="GJ28" i="6"/>
  <c r="MF7" i="5"/>
  <c r="MG7" i="5" s="1"/>
  <c r="MF32" i="5"/>
  <c r="MF12" i="5"/>
  <c r="MG12" i="5" s="1"/>
  <c r="MG9" i="5"/>
  <c r="DP28" i="6"/>
  <c r="FW4" i="6"/>
  <c r="DR4" i="6"/>
  <c r="GL4" i="6" s="1"/>
  <c r="DQ4" i="6"/>
  <c r="X23" i="6"/>
  <c r="X24" i="6"/>
  <c r="X8" i="6"/>
  <c r="X5" i="6"/>
  <c r="X7" i="6"/>
  <c r="X11" i="6"/>
  <c r="X15" i="6"/>
  <c r="X14" i="6"/>
  <c r="X17" i="6"/>
  <c r="X6" i="6"/>
  <c r="X9" i="6"/>
  <c r="X10" i="6"/>
  <c r="X18" i="6"/>
  <c r="X26" i="6"/>
  <c r="X19" i="6"/>
  <c r="X22" i="6"/>
  <c r="X12" i="6"/>
  <c r="X16" i="6"/>
  <c r="X13" i="6"/>
  <c r="X25" i="6"/>
  <c r="X21" i="6"/>
  <c r="X20" i="6"/>
  <c r="ES27" i="6"/>
  <c r="ER28" i="6"/>
  <c r="DK27" i="6"/>
  <c r="DP27" i="6" s="1"/>
  <c r="DJ28" i="6"/>
  <c r="MF7" i="3"/>
  <c r="MG7" i="3" s="1"/>
  <c r="MF12" i="3"/>
  <c r="MG12" i="3" s="1"/>
  <c r="MF32" i="3"/>
  <c r="MG9" i="3"/>
  <c r="X9" i="4"/>
  <c r="X25" i="4"/>
  <c r="X22" i="4"/>
  <c r="X21" i="4"/>
  <c r="X20" i="4"/>
  <c r="X19" i="4"/>
  <c r="X18" i="4"/>
  <c r="X17" i="4"/>
  <c r="X16" i="4"/>
  <c r="X14" i="4"/>
  <c r="X13" i="4"/>
  <c r="X12" i="4"/>
  <c r="X11" i="4"/>
  <c r="X10" i="4"/>
  <c r="X15" i="4"/>
  <c r="X26" i="4"/>
  <c r="X5" i="4"/>
  <c r="X6" i="4"/>
  <c r="X4" i="4"/>
  <c r="FU28" i="4"/>
  <c r="DQ25" i="4"/>
  <c r="DQ13" i="4"/>
  <c r="DQ12" i="4"/>
  <c r="DQ14" i="4"/>
  <c r="DQ15" i="4"/>
  <c r="DQ24" i="4"/>
  <c r="DQ23" i="4"/>
  <c r="DQ20" i="4"/>
  <c r="DQ10" i="4"/>
  <c r="DQ9" i="4"/>
  <c r="DQ8" i="4"/>
  <c r="DQ27" i="4"/>
  <c r="DQ26" i="4"/>
  <c r="DQ22" i="4"/>
  <c r="DQ19" i="4"/>
  <c r="DR28" i="4"/>
  <c r="DQ7" i="4"/>
  <c r="DR7" i="4"/>
  <c r="GL7" i="4" s="1"/>
  <c r="FW7" i="4"/>
  <c r="DQ17" i="4"/>
  <c r="DQ4" i="4"/>
  <c r="DQ28" i="4" s="1"/>
  <c r="LC16" i="1"/>
  <c r="LC10" i="1"/>
  <c r="JL9" i="1" s="1"/>
  <c r="LC25" i="1"/>
  <c r="LC26" i="1"/>
  <c r="LN9" i="1"/>
  <c r="LC14" i="1"/>
  <c r="LA27" i="1"/>
  <c r="LC19" i="1"/>
  <c r="LN6" i="1"/>
  <c r="JL6" i="1"/>
  <c r="LN11" i="1"/>
  <c r="JL11" i="1"/>
  <c r="LC23" i="1"/>
  <c r="LC11" i="1"/>
  <c r="KU27" i="1"/>
  <c r="KW27" i="1"/>
  <c r="KW28" i="1" s="1"/>
  <c r="KY27" i="1"/>
  <c r="LN16" i="1"/>
  <c r="JL16" i="1"/>
  <c r="JL20" i="1"/>
  <c r="LN20" i="1"/>
  <c r="KM28" i="1"/>
  <c r="N14" i="1"/>
  <c r="LC24" i="1"/>
  <c r="LC18" i="1"/>
  <c r="JL21" i="1"/>
  <c r="LN21" i="1"/>
  <c r="LN14" i="1"/>
  <c r="JL14" i="1"/>
  <c r="LC20" i="1"/>
  <c r="LC13" i="1"/>
  <c r="LC9" i="1"/>
  <c r="LC8" i="1"/>
  <c r="KO27" i="1"/>
  <c r="IV4" i="2"/>
  <c r="IW4" i="2"/>
  <c r="IU28" i="2"/>
  <c r="IW26" i="2"/>
  <c r="IV26" i="2"/>
  <c r="IW11" i="2"/>
  <c r="IV11" i="2"/>
  <c r="IW6" i="2"/>
  <c r="IV6" i="2"/>
  <c r="IW9" i="2"/>
  <c r="IV9" i="2"/>
  <c r="IW20" i="2"/>
  <c r="IV20" i="2"/>
  <c r="IW22" i="2"/>
  <c r="IV22" i="2"/>
  <c r="IW16" i="2"/>
  <c r="IV16" i="2"/>
  <c r="IW5" i="2"/>
  <c r="IV5" i="2"/>
  <c r="IW14" i="2"/>
  <c r="IV14" i="2"/>
  <c r="IW12" i="2"/>
  <c r="IV12" i="2"/>
  <c r="IW7" i="2"/>
  <c r="IV7" i="2"/>
  <c r="IW18" i="2"/>
  <c r="IV18" i="2"/>
  <c r="IW10" i="2"/>
  <c r="IV10" i="2"/>
  <c r="IW25" i="2"/>
  <c r="IV25" i="2"/>
  <c r="IW19" i="2"/>
  <c r="IV19" i="2"/>
  <c r="IW13" i="2"/>
  <c r="IV13" i="2"/>
  <c r="IW21" i="2"/>
  <c r="IV21" i="2"/>
  <c r="AI20" i="1"/>
  <c r="AH21" i="1"/>
  <c r="M21" i="1"/>
  <c r="L21" i="1"/>
  <c r="K22" i="1"/>
  <c r="Z14" i="1"/>
  <c r="Y14" i="1"/>
  <c r="X14" i="1"/>
  <c r="BZ4" i="2"/>
  <c r="BZ5" i="2"/>
  <c r="BZ7" i="2"/>
  <c r="BZ8" i="2"/>
  <c r="BZ6" i="2"/>
  <c r="BR28" i="2"/>
  <c r="BS28" i="2" s="1"/>
  <c r="BG6" i="2"/>
  <c r="AL5" i="2"/>
  <c r="AH20" i="1"/>
  <c r="LP26" i="1"/>
  <c r="J22" i="1"/>
  <c r="I22" i="1"/>
  <c r="CF20" i="1"/>
  <c r="CI20" i="1" s="1"/>
  <c r="CJ20" i="1" s="1"/>
  <c r="G22" i="1"/>
  <c r="CG20" i="1" s="1"/>
  <c r="CH20" i="1" s="1"/>
  <c r="GJ28" i="10" l="1"/>
  <c r="DQ17" i="10"/>
  <c r="DQ10" i="10"/>
  <c r="DQ8" i="10"/>
  <c r="DQ14" i="10"/>
  <c r="DQ7" i="10"/>
  <c r="DQ25" i="10"/>
  <c r="DQ16" i="10"/>
  <c r="DQ24" i="10"/>
  <c r="DQ5" i="10"/>
  <c r="DQ20" i="10"/>
  <c r="DQ9" i="10"/>
  <c r="DQ23" i="10"/>
  <c r="DQ27" i="10"/>
  <c r="DQ21" i="10"/>
  <c r="DQ19" i="10"/>
  <c r="DQ26" i="10"/>
  <c r="DQ15" i="10"/>
  <c r="DQ18" i="10"/>
  <c r="DQ13" i="10"/>
  <c r="DQ12" i="10"/>
  <c r="DQ11" i="10"/>
  <c r="DQ6" i="10"/>
  <c r="DQ22" i="10"/>
  <c r="DR28" i="10"/>
  <c r="X5" i="10"/>
  <c r="Y5" i="10"/>
  <c r="FW28" i="10"/>
  <c r="GL28" i="10" s="1"/>
  <c r="Y4" i="10"/>
  <c r="X4" i="10"/>
  <c r="X28" i="10" s="1"/>
  <c r="Y23" i="10"/>
  <c r="Y27" i="10"/>
  <c r="Y8" i="10"/>
  <c r="Y24" i="10"/>
  <c r="Y11" i="10"/>
  <c r="Y13" i="10"/>
  <c r="Y6" i="10"/>
  <c r="Y9" i="10"/>
  <c r="Y16" i="10"/>
  <c r="Y12" i="10"/>
  <c r="Y10" i="10"/>
  <c r="Y14" i="10"/>
  <c r="Y20" i="10"/>
  <c r="Y22" i="10"/>
  <c r="Y7" i="10"/>
  <c r="Y21" i="10"/>
  <c r="Y17" i="10"/>
  <c r="Y19" i="10"/>
  <c r="Y26" i="10"/>
  <c r="Y15" i="10"/>
  <c r="Y18" i="10"/>
  <c r="Y25" i="10"/>
  <c r="GJ28" i="8"/>
  <c r="DK4" i="8"/>
  <c r="DP4" i="8" s="1"/>
  <c r="ES4" i="8"/>
  <c r="FW16" i="8"/>
  <c r="DR16" i="8"/>
  <c r="GL16" i="8" s="1"/>
  <c r="FW9" i="8"/>
  <c r="DR9" i="8"/>
  <c r="GL9" i="8" s="1"/>
  <c r="DR7" i="8"/>
  <c r="GL7" i="8" s="1"/>
  <c r="FW7" i="8"/>
  <c r="FW6" i="8"/>
  <c r="DR6" i="8"/>
  <c r="GL6" i="8" s="1"/>
  <c r="FW27" i="8"/>
  <c r="FW21" i="8"/>
  <c r="DR21" i="8"/>
  <c r="GL21" i="8" s="1"/>
  <c r="FW20" i="8"/>
  <c r="DR20" i="8"/>
  <c r="GL20" i="8" s="1"/>
  <c r="FW19" i="8"/>
  <c r="DR19" i="8"/>
  <c r="GL19" i="8" s="1"/>
  <c r="FW15" i="8"/>
  <c r="DR15" i="8"/>
  <c r="GL15" i="8" s="1"/>
  <c r="DR17" i="8"/>
  <c r="GL17" i="8" s="1"/>
  <c r="FW17" i="8"/>
  <c r="FW14" i="8"/>
  <c r="DR14" i="8"/>
  <c r="GL14" i="8" s="1"/>
  <c r="FW13" i="8"/>
  <c r="DR13" i="8"/>
  <c r="GL13" i="8" s="1"/>
  <c r="FW8" i="8"/>
  <c r="FW23" i="8"/>
  <c r="FW25" i="8"/>
  <c r="DR25" i="8"/>
  <c r="GL25" i="8" s="1"/>
  <c r="FW22" i="8"/>
  <c r="DR22" i="8"/>
  <c r="GL22" i="8" s="1"/>
  <c r="DR18" i="8"/>
  <c r="GL18" i="8" s="1"/>
  <c r="FW18" i="8"/>
  <c r="FW11" i="8"/>
  <c r="DR11" i="8"/>
  <c r="GL11" i="8" s="1"/>
  <c r="FW10" i="8"/>
  <c r="DR10" i="8"/>
  <c r="GL10" i="8" s="1"/>
  <c r="FW26" i="8"/>
  <c r="DR26" i="8"/>
  <c r="GL26" i="8" s="1"/>
  <c r="FW24" i="8"/>
  <c r="DJ12" i="8"/>
  <c r="DK12" i="8" s="1"/>
  <c r="DP12" i="8" s="1"/>
  <c r="ER12" i="8"/>
  <c r="ES12" i="8" s="1"/>
  <c r="DJ5" i="8"/>
  <c r="ER5" i="8"/>
  <c r="DQ20" i="6"/>
  <c r="DQ12" i="6"/>
  <c r="DQ26" i="6"/>
  <c r="DQ18" i="6"/>
  <c r="DQ10" i="6"/>
  <c r="DQ6" i="6"/>
  <c r="DQ24" i="6"/>
  <c r="DQ17" i="6"/>
  <c r="DQ23" i="6"/>
  <c r="DQ7" i="6"/>
  <c r="DQ21" i="6"/>
  <c r="DQ16" i="6"/>
  <c r="DQ22" i="6"/>
  <c r="DQ11" i="6"/>
  <c r="DQ25" i="6"/>
  <c r="DQ13" i="6"/>
  <c r="DQ5" i="6"/>
  <c r="DQ9" i="6"/>
  <c r="DQ14" i="6"/>
  <c r="DQ15" i="6"/>
  <c r="DQ19" i="6"/>
  <c r="DQ8" i="6"/>
  <c r="DR28" i="6"/>
  <c r="X4" i="6"/>
  <c r="DQ27" i="6"/>
  <c r="FW27" i="6"/>
  <c r="FW28" i="6" s="1"/>
  <c r="Y4" i="6" s="1"/>
  <c r="GJ28" i="4"/>
  <c r="FW28" i="4"/>
  <c r="X7" i="4"/>
  <c r="X28" i="4" s="1"/>
  <c r="LN15" i="1"/>
  <c r="JL15" i="1"/>
  <c r="LN13" i="1"/>
  <c r="JL13" i="1"/>
  <c r="JL24" i="1"/>
  <c r="LN24" i="1"/>
  <c r="JL25" i="1"/>
  <c r="LN25" i="1"/>
  <c r="JT9" i="1"/>
  <c r="JV9" i="1"/>
  <c r="KD9" i="1" s="1"/>
  <c r="LK9" i="1" s="1"/>
  <c r="LQ9" i="1" s="1"/>
  <c r="LN7" i="1"/>
  <c r="JL7" i="1"/>
  <c r="JV16" i="1"/>
  <c r="KD16" i="1" s="1"/>
  <c r="LK16" i="1" s="1"/>
  <c r="LQ16" i="1" s="1"/>
  <c r="JT16" i="1"/>
  <c r="LA28" i="1"/>
  <c r="N20" i="1"/>
  <c r="JL18" i="1"/>
  <c r="LN18" i="1"/>
  <c r="JT11" i="1"/>
  <c r="JV11" i="1"/>
  <c r="KD11" i="1" s="1"/>
  <c r="LK11" i="1" s="1"/>
  <c r="LQ11" i="1" s="1"/>
  <c r="JL22" i="1"/>
  <c r="LN22" i="1"/>
  <c r="JL10" i="1"/>
  <c r="LN10" i="1"/>
  <c r="JT6" i="1"/>
  <c r="JV6" i="1"/>
  <c r="KD6" i="1" s="1"/>
  <c r="LK6" i="1" s="1"/>
  <c r="KU28" i="1"/>
  <c r="N19" i="1"/>
  <c r="KY28" i="1"/>
  <c r="N18" i="1"/>
  <c r="JT20" i="1"/>
  <c r="JV20" i="1"/>
  <c r="KD20" i="1" s="1"/>
  <c r="LK20" i="1" s="1"/>
  <c r="LQ20" i="1" s="1"/>
  <c r="Q14" i="1"/>
  <c r="P14" i="1"/>
  <c r="O14" i="1"/>
  <c r="R14" i="1" s="1"/>
  <c r="MC14" i="1"/>
  <c r="JV21" i="1"/>
  <c r="KD21" i="1" s="1"/>
  <c r="LK21" i="1" s="1"/>
  <c r="LQ21" i="1" s="1"/>
  <c r="JT21" i="1"/>
  <c r="LN23" i="1"/>
  <c r="JL23" i="1"/>
  <c r="LN17" i="1"/>
  <c r="JL17" i="1"/>
  <c r="JV14" i="1"/>
  <c r="KD14" i="1" s="1"/>
  <c r="LK14" i="1" s="1"/>
  <c r="LQ14" i="1" s="1"/>
  <c r="JT14" i="1"/>
  <c r="LN19" i="1"/>
  <c r="JL19" i="1"/>
  <c r="JL12" i="1"/>
  <c r="LN12" i="1"/>
  <c r="LN8" i="1"/>
  <c r="JL8" i="1"/>
  <c r="LC27" i="1"/>
  <c r="KO28" i="1"/>
  <c r="AI21" i="1"/>
  <c r="N15" i="1"/>
  <c r="IV28" i="2"/>
  <c r="IW28" i="2"/>
  <c r="M22" i="1"/>
  <c r="L22" i="1"/>
  <c r="X16" i="1"/>
  <c r="AA14" i="1"/>
  <c r="X15" i="1"/>
  <c r="Y16" i="1"/>
  <c r="Y15" i="1"/>
  <c r="Z15" i="1"/>
  <c r="Z16" i="1"/>
  <c r="CD6" i="2"/>
  <c r="CC6" i="2"/>
  <c r="CD8" i="2"/>
  <c r="CC8" i="2"/>
  <c r="AV12" i="2"/>
  <c r="AV11" i="2"/>
  <c r="AV20" i="2"/>
  <c r="AV8" i="2"/>
  <c r="AV15" i="2"/>
  <c r="AV16" i="2"/>
  <c r="AV9" i="2"/>
  <c r="AV7" i="2"/>
  <c r="AV19" i="2"/>
  <c r="AV6" i="2"/>
  <c r="AV10" i="2"/>
  <c r="AV17" i="2"/>
  <c r="AV13" i="2"/>
  <c r="AV5" i="2"/>
  <c r="AV27" i="2"/>
  <c r="AV14" i="2"/>
  <c r="AV24" i="2"/>
  <c r="AV26" i="2"/>
  <c r="AV23" i="2"/>
  <c r="AV4" i="2"/>
  <c r="AV22" i="2"/>
  <c r="AV21" i="2"/>
  <c r="AV25" i="2"/>
  <c r="AV18" i="2"/>
  <c r="BG5" i="2"/>
  <c r="BQ28" i="2" s="1"/>
  <c r="BG4" i="2"/>
  <c r="BO28" i="2" s="1"/>
  <c r="CD7" i="2"/>
  <c r="CC7" i="2"/>
  <c r="CD4" i="2"/>
  <c r="CC4" i="2"/>
  <c r="CD5" i="2"/>
  <c r="CC5" i="2"/>
  <c r="FL5" i="10" l="1"/>
  <c r="FK5" i="10"/>
  <c r="EP5" i="10"/>
  <c r="EQ5" i="10" s="1"/>
  <c r="EV5" i="10" s="1"/>
  <c r="EP4" i="10"/>
  <c r="Y28" i="10"/>
  <c r="FK28" i="10" s="1"/>
  <c r="FK4" i="10"/>
  <c r="FL4" i="10"/>
  <c r="FL23" i="10"/>
  <c r="FZ23" i="10" s="1"/>
  <c r="FK23" i="10"/>
  <c r="EP23" i="10"/>
  <c r="EQ23" i="10" s="1"/>
  <c r="EV23" i="10" s="1"/>
  <c r="FL27" i="10"/>
  <c r="FZ27" i="10" s="1"/>
  <c r="FK27" i="10"/>
  <c r="EP27" i="10"/>
  <c r="EQ27" i="10" s="1"/>
  <c r="EV27" i="10" s="1"/>
  <c r="FL8" i="10"/>
  <c r="FZ8" i="10" s="1"/>
  <c r="FK8" i="10"/>
  <c r="EP8" i="10"/>
  <c r="EQ8" i="10" s="1"/>
  <c r="EV8" i="10" s="1"/>
  <c r="FL24" i="10"/>
  <c r="FZ24" i="10" s="1"/>
  <c r="FK24" i="10"/>
  <c r="EP24" i="10"/>
  <c r="EQ24" i="10" s="1"/>
  <c r="EV24" i="10" s="1"/>
  <c r="EP11" i="10"/>
  <c r="EQ11" i="10" s="1"/>
  <c r="EV11" i="10" s="1"/>
  <c r="FK11" i="10"/>
  <c r="FL11" i="10"/>
  <c r="EP13" i="10"/>
  <c r="EQ13" i="10" s="1"/>
  <c r="EV13" i="10" s="1"/>
  <c r="FK13" i="10"/>
  <c r="FL13" i="10"/>
  <c r="EP6" i="10"/>
  <c r="EQ6" i="10" s="1"/>
  <c r="EV6" i="10" s="1"/>
  <c r="FK6" i="10"/>
  <c r="FL6" i="10"/>
  <c r="EP9" i="10"/>
  <c r="EQ9" i="10" s="1"/>
  <c r="EV9" i="10" s="1"/>
  <c r="FK9" i="10"/>
  <c r="FL9" i="10"/>
  <c r="EP16" i="10"/>
  <c r="EQ16" i="10" s="1"/>
  <c r="EV16" i="10" s="1"/>
  <c r="FK16" i="10"/>
  <c r="FL16" i="10"/>
  <c r="EP12" i="10"/>
  <c r="EQ12" i="10" s="1"/>
  <c r="EV12" i="10" s="1"/>
  <c r="FK12" i="10"/>
  <c r="FL12" i="10"/>
  <c r="EP10" i="10"/>
  <c r="EQ10" i="10" s="1"/>
  <c r="EV10" i="10" s="1"/>
  <c r="FK10" i="10"/>
  <c r="FL10" i="10"/>
  <c r="EP14" i="10"/>
  <c r="EQ14" i="10" s="1"/>
  <c r="EV14" i="10" s="1"/>
  <c r="FK14" i="10"/>
  <c r="FL14" i="10"/>
  <c r="EP20" i="10"/>
  <c r="EQ20" i="10" s="1"/>
  <c r="EV20" i="10" s="1"/>
  <c r="FK20" i="10"/>
  <c r="FL20" i="10"/>
  <c r="EP22" i="10"/>
  <c r="EQ22" i="10" s="1"/>
  <c r="EV22" i="10" s="1"/>
  <c r="FK22" i="10"/>
  <c r="FL22" i="10"/>
  <c r="EP7" i="10"/>
  <c r="EQ7" i="10" s="1"/>
  <c r="EV7" i="10" s="1"/>
  <c r="FK7" i="10"/>
  <c r="FL7" i="10"/>
  <c r="EP21" i="10"/>
  <c r="EQ21" i="10" s="1"/>
  <c r="EV21" i="10" s="1"/>
  <c r="FK21" i="10"/>
  <c r="FL21" i="10"/>
  <c r="EP17" i="10"/>
  <c r="EQ17" i="10" s="1"/>
  <c r="EV17" i="10" s="1"/>
  <c r="FK17" i="10"/>
  <c r="FL17" i="10"/>
  <c r="EP19" i="10"/>
  <c r="EQ19" i="10" s="1"/>
  <c r="EV19" i="10" s="1"/>
  <c r="FL19" i="10"/>
  <c r="FK19" i="10"/>
  <c r="EP26" i="10"/>
  <c r="EQ26" i="10" s="1"/>
  <c r="EV26" i="10" s="1"/>
  <c r="FL26" i="10"/>
  <c r="FK26" i="10"/>
  <c r="EP15" i="10"/>
  <c r="EQ15" i="10" s="1"/>
  <c r="EV15" i="10" s="1"/>
  <c r="FK15" i="10"/>
  <c r="FL15" i="10"/>
  <c r="EP18" i="10"/>
  <c r="EQ18" i="10" s="1"/>
  <c r="EV18" i="10" s="1"/>
  <c r="FK18" i="10"/>
  <c r="FL18" i="10"/>
  <c r="EP25" i="10"/>
  <c r="EQ25" i="10" s="1"/>
  <c r="EV25" i="10" s="1"/>
  <c r="FK25" i="10"/>
  <c r="FL25" i="10"/>
  <c r="DQ28" i="10"/>
  <c r="FW4" i="8"/>
  <c r="DR4" i="8"/>
  <c r="GL4" i="8" s="1"/>
  <c r="DP28" i="8"/>
  <c r="DQ4" i="8" s="1"/>
  <c r="X16" i="8"/>
  <c r="X9" i="8"/>
  <c r="X7" i="8"/>
  <c r="X6" i="8"/>
  <c r="X27" i="8"/>
  <c r="X21" i="8"/>
  <c r="X20" i="8"/>
  <c r="X19" i="8"/>
  <c r="X15" i="8"/>
  <c r="X17" i="8"/>
  <c r="X14" i="8"/>
  <c r="X13" i="8"/>
  <c r="X8" i="8"/>
  <c r="X23" i="8"/>
  <c r="X25" i="8"/>
  <c r="X22" i="8"/>
  <c r="X18" i="8"/>
  <c r="X11" i="8"/>
  <c r="X10" i="8"/>
  <c r="X26" i="8"/>
  <c r="X24" i="8"/>
  <c r="FW12" i="8"/>
  <c r="DR12" i="8"/>
  <c r="GL12" i="8" s="1"/>
  <c r="DQ12" i="8"/>
  <c r="DK5" i="8"/>
  <c r="DP5" i="8" s="1"/>
  <c r="DJ28" i="8"/>
  <c r="ES5" i="8"/>
  <c r="ER28" i="8"/>
  <c r="FL4" i="6"/>
  <c r="FK4" i="6"/>
  <c r="EP4" i="6"/>
  <c r="Y16" i="6"/>
  <c r="Y12" i="6"/>
  <c r="Y22" i="6"/>
  <c r="Y18" i="6"/>
  <c r="Y10" i="6"/>
  <c r="Y9" i="6"/>
  <c r="Y6" i="6"/>
  <c r="Y24" i="6"/>
  <c r="Y23" i="6"/>
  <c r="Y19" i="6"/>
  <c r="Y20" i="6"/>
  <c r="Y21" i="6"/>
  <c r="Y25" i="6"/>
  <c r="Y13" i="6"/>
  <c r="Y26" i="6"/>
  <c r="Y17" i="6"/>
  <c r="Y14" i="6"/>
  <c r="Y15" i="6"/>
  <c r="Y11" i="6"/>
  <c r="Y7" i="6"/>
  <c r="Y5" i="6"/>
  <c r="Y28" i="6" s="1"/>
  <c r="FK28" i="6" s="1"/>
  <c r="Y8" i="6"/>
  <c r="GL28" i="6"/>
  <c r="Y27" i="6"/>
  <c r="X27" i="6"/>
  <c r="X28" i="6" s="1"/>
  <c r="DQ28" i="6"/>
  <c r="GL28" i="4"/>
  <c r="Y27" i="4"/>
  <c r="Y23" i="4"/>
  <c r="Y24" i="4"/>
  <c r="Y25" i="4"/>
  <c r="Y22" i="4"/>
  <c r="Y20" i="4"/>
  <c r="Y19" i="4"/>
  <c r="Y17" i="4"/>
  <c r="Y16" i="4"/>
  <c r="Y12" i="4"/>
  <c r="Y6" i="4"/>
  <c r="Y9" i="4"/>
  <c r="Y21" i="4"/>
  <c r="Y18" i="4"/>
  <c r="Y13" i="4"/>
  <c r="Y11" i="4"/>
  <c r="Y10" i="4"/>
  <c r="Y5" i="4"/>
  <c r="Y4" i="4"/>
  <c r="Y7" i="4"/>
  <c r="Y8" i="4"/>
  <c r="Y26" i="4"/>
  <c r="Y14" i="4"/>
  <c r="Y15" i="4"/>
  <c r="JT15" i="1"/>
  <c r="JV15" i="1"/>
  <c r="KD15" i="1" s="1"/>
  <c r="LK15" i="1" s="1"/>
  <c r="LQ15" i="1" s="1"/>
  <c r="JT13" i="1"/>
  <c r="JV13" i="1"/>
  <c r="KD13" i="1" s="1"/>
  <c r="LK13" i="1" s="1"/>
  <c r="LQ13" i="1" s="1"/>
  <c r="JV7" i="1"/>
  <c r="KD7" i="1" s="1"/>
  <c r="LK7" i="1" s="1"/>
  <c r="LQ7" i="1" s="1"/>
  <c r="JT7" i="1"/>
  <c r="JT24" i="1"/>
  <c r="JV24" i="1"/>
  <c r="KD24" i="1" s="1"/>
  <c r="LK24" i="1" s="1"/>
  <c r="LQ24" i="1" s="1"/>
  <c r="JV25" i="1"/>
  <c r="KD25" i="1" s="1"/>
  <c r="LK25" i="1" s="1"/>
  <c r="LQ25" i="1" s="1"/>
  <c r="JT25" i="1"/>
  <c r="JT10" i="1"/>
  <c r="JV10" i="1"/>
  <c r="KD10" i="1" s="1"/>
  <c r="LK10" i="1" s="1"/>
  <c r="LQ10" i="1" s="1"/>
  <c r="JV18" i="1"/>
  <c r="KD18" i="1" s="1"/>
  <c r="LK18" i="1" s="1"/>
  <c r="LQ18" i="1" s="1"/>
  <c r="JT18" i="1"/>
  <c r="JT22" i="1"/>
  <c r="JV22" i="1"/>
  <c r="KD22" i="1" s="1"/>
  <c r="LK22" i="1" s="1"/>
  <c r="LQ22" i="1" s="1"/>
  <c r="Q20" i="1"/>
  <c r="MC20" i="1"/>
  <c r="P20" i="1"/>
  <c r="O20" i="1"/>
  <c r="R20" i="1" s="1"/>
  <c r="P19" i="1"/>
  <c r="Q19" i="1"/>
  <c r="MC19" i="1"/>
  <c r="O19" i="1"/>
  <c r="R19" i="1" s="1"/>
  <c r="Q18" i="1"/>
  <c r="MC18" i="1"/>
  <c r="P18" i="1"/>
  <c r="O18" i="1"/>
  <c r="R18" i="1" s="1"/>
  <c r="C4" i="2"/>
  <c r="MF14" i="1"/>
  <c r="MG14" i="1" s="1"/>
  <c r="MD14" i="1"/>
  <c r="MN14" i="1"/>
  <c r="MO14" i="1" s="1"/>
  <c r="MP14" i="1" s="1"/>
  <c r="JV23" i="1"/>
  <c r="KD23" i="1" s="1"/>
  <c r="LK23" i="1" s="1"/>
  <c r="LQ23" i="1" s="1"/>
  <c r="JT23" i="1"/>
  <c r="JV17" i="1"/>
  <c r="KD17" i="1" s="1"/>
  <c r="LK17" i="1" s="1"/>
  <c r="LQ17" i="1" s="1"/>
  <c r="JT17" i="1"/>
  <c r="LN26" i="1"/>
  <c r="JV19" i="1"/>
  <c r="KD19" i="1" s="1"/>
  <c r="LK19" i="1" s="1"/>
  <c r="LQ19" i="1" s="1"/>
  <c r="JT19" i="1"/>
  <c r="JV12" i="1"/>
  <c r="KD12" i="1" s="1"/>
  <c r="LK12" i="1" s="1"/>
  <c r="LQ12" i="1" s="1"/>
  <c r="JT12" i="1"/>
  <c r="JV8" i="1"/>
  <c r="JT8" i="1"/>
  <c r="LC28" i="1"/>
  <c r="JL26" i="1"/>
  <c r="JT26" i="1" s="1"/>
  <c r="MC15" i="1"/>
  <c r="P15" i="1"/>
  <c r="O15" i="1"/>
  <c r="R15" i="1" s="1"/>
  <c r="Q15" i="1"/>
  <c r="N21" i="1"/>
  <c r="AA15" i="1"/>
  <c r="AA16" i="1"/>
  <c r="BQ8" i="2"/>
  <c r="BQ15" i="2"/>
  <c r="BQ26" i="2"/>
  <c r="BQ27" i="2"/>
  <c r="BQ10" i="2"/>
  <c r="BQ18" i="2"/>
  <c r="BQ17" i="2"/>
  <c r="BQ7" i="2"/>
  <c r="BQ21" i="2"/>
  <c r="BQ16" i="2"/>
  <c r="BQ9" i="2"/>
  <c r="BQ22" i="2"/>
  <c r="BQ23" i="2"/>
  <c r="BQ13" i="2"/>
  <c r="BQ5" i="2"/>
  <c r="BQ6" i="2"/>
  <c r="BQ24" i="2"/>
  <c r="BQ19" i="2"/>
  <c r="BQ12" i="2"/>
  <c r="BQ11" i="2"/>
  <c r="BQ14" i="2"/>
  <c r="BQ4" i="2"/>
  <c r="BQ25" i="2"/>
  <c r="BQ20" i="2"/>
  <c r="LQ6" i="1"/>
  <c r="AV28" i="2"/>
  <c r="CC9" i="2"/>
  <c r="CL28" i="2" s="1"/>
  <c r="CD9" i="2"/>
  <c r="CN28" i="2" s="1"/>
  <c r="FM5" i="10" l="1"/>
  <c r="GO5" i="10" s="1"/>
  <c r="FZ5" i="10"/>
  <c r="EX5" i="10"/>
  <c r="GN5" i="10" s="1"/>
  <c r="FY5" i="10"/>
  <c r="GA5" i="10" s="1"/>
  <c r="EP28" i="10"/>
  <c r="EQ4" i="10"/>
  <c r="EV4" i="10" s="1"/>
  <c r="FM4" i="10"/>
  <c r="GO4" i="10" s="1"/>
  <c r="FZ4" i="10"/>
  <c r="FY23" i="10"/>
  <c r="GA23" i="10" s="1"/>
  <c r="GY23" i="10" s="1"/>
  <c r="FY27" i="10"/>
  <c r="GA27" i="10" s="1"/>
  <c r="GY27" i="10" s="1"/>
  <c r="FY8" i="10"/>
  <c r="GA8" i="10" s="1"/>
  <c r="GY8" i="10" s="1"/>
  <c r="FY24" i="10"/>
  <c r="GA24" i="10" s="1"/>
  <c r="GY24" i="10" s="1"/>
  <c r="EX11" i="10"/>
  <c r="GN11" i="10" s="1"/>
  <c r="FY11" i="10"/>
  <c r="GA11" i="10" s="1"/>
  <c r="FZ11" i="10"/>
  <c r="FM11" i="10"/>
  <c r="GO11" i="10" s="1"/>
  <c r="FY13" i="10"/>
  <c r="EX13" i="10"/>
  <c r="GN13" i="10" s="1"/>
  <c r="FZ13" i="10"/>
  <c r="FM13" i="10"/>
  <c r="GO13" i="10" s="1"/>
  <c r="FY6" i="10"/>
  <c r="EX6" i="10"/>
  <c r="GN6" i="10" s="1"/>
  <c r="FM6" i="10"/>
  <c r="GO6" i="10" s="1"/>
  <c r="FZ6" i="10"/>
  <c r="FY9" i="10"/>
  <c r="GA9" i="10" s="1"/>
  <c r="EX9" i="10"/>
  <c r="GN9" i="10" s="1"/>
  <c r="FZ9" i="10"/>
  <c r="FM9" i="10"/>
  <c r="GO9" i="10" s="1"/>
  <c r="FY16" i="10"/>
  <c r="EX16" i="10"/>
  <c r="GN16" i="10" s="1"/>
  <c r="FM16" i="10"/>
  <c r="GO16" i="10" s="1"/>
  <c r="FZ16" i="10"/>
  <c r="FY12" i="10"/>
  <c r="EX12" i="10"/>
  <c r="GN12" i="10" s="1"/>
  <c r="FM12" i="10"/>
  <c r="GO12" i="10" s="1"/>
  <c r="FZ12" i="10"/>
  <c r="FY10" i="10"/>
  <c r="GA10" i="10" s="1"/>
  <c r="EX10" i="10"/>
  <c r="GN10" i="10" s="1"/>
  <c r="FM10" i="10"/>
  <c r="GO10" i="10" s="1"/>
  <c r="FZ10" i="10"/>
  <c r="EX14" i="10"/>
  <c r="GN14" i="10" s="1"/>
  <c r="FY14" i="10"/>
  <c r="FM14" i="10"/>
  <c r="GO14" i="10" s="1"/>
  <c r="FZ14" i="10"/>
  <c r="FY20" i="10"/>
  <c r="EX20" i="10"/>
  <c r="GN20" i="10" s="1"/>
  <c r="FZ20" i="10"/>
  <c r="FM20" i="10"/>
  <c r="GO20" i="10" s="1"/>
  <c r="FY22" i="10"/>
  <c r="EX22" i="10"/>
  <c r="GN22" i="10" s="1"/>
  <c r="FZ22" i="10"/>
  <c r="FM22" i="10"/>
  <c r="GO22" i="10" s="1"/>
  <c r="EX7" i="10"/>
  <c r="GN7" i="10" s="1"/>
  <c r="FY7" i="10"/>
  <c r="FM7" i="10"/>
  <c r="GO7" i="10" s="1"/>
  <c r="FZ7" i="10"/>
  <c r="FY21" i="10"/>
  <c r="EX21" i="10"/>
  <c r="GN21" i="10" s="1"/>
  <c r="FZ21" i="10"/>
  <c r="FM21" i="10"/>
  <c r="GO21" i="10" s="1"/>
  <c r="EX17" i="10"/>
  <c r="GN17" i="10" s="1"/>
  <c r="FY17" i="10"/>
  <c r="FM17" i="10"/>
  <c r="GO17" i="10" s="1"/>
  <c r="FZ17" i="10"/>
  <c r="FY19" i="10"/>
  <c r="EX19" i="10"/>
  <c r="GN19" i="10" s="1"/>
  <c r="FM19" i="10"/>
  <c r="GO19" i="10" s="1"/>
  <c r="FZ19" i="10"/>
  <c r="FY26" i="10"/>
  <c r="EX26" i="10"/>
  <c r="GN26" i="10" s="1"/>
  <c r="FZ26" i="10"/>
  <c r="FM26" i="10"/>
  <c r="GO26" i="10" s="1"/>
  <c r="FY15" i="10"/>
  <c r="EX15" i="10"/>
  <c r="GN15" i="10" s="1"/>
  <c r="FZ15" i="10"/>
  <c r="FM15" i="10"/>
  <c r="GO15" i="10" s="1"/>
  <c r="FY18" i="10"/>
  <c r="EX18" i="10"/>
  <c r="GN18" i="10" s="1"/>
  <c r="FM18" i="10"/>
  <c r="GO18" i="10" s="1"/>
  <c r="FZ18" i="10"/>
  <c r="EX25" i="10"/>
  <c r="GN25" i="10" s="1"/>
  <c r="FY25" i="10"/>
  <c r="GA25" i="10" s="1"/>
  <c r="FM25" i="10"/>
  <c r="GO25" i="10" s="1"/>
  <c r="FZ25" i="10"/>
  <c r="X4" i="8"/>
  <c r="DQ10" i="8"/>
  <c r="DQ22" i="8"/>
  <c r="DQ23" i="8"/>
  <c r="DQ14" i="8"/>
  <c r="DQ21" i="8"/>
  <c r="DQ27" i="8"/>
  <c r="DQ6" i="8"/>
  <c r="DQ24" i="8"/>
  <c r="DQ26" i="8"/>
  <c r="DQ11" i="8"/>
  <c r="DQ18" i="8"/>
  <c r="DQ13" i="8"/>
  <c r="DQ17" i="8"/>
  <c r="DQ15" i="8"/>
  <c r="DQ20" i="8"/>
  <c r="DQ7" i="8"/>
  <c r="DQ9" i="8"/>
  <c r="DQ16" i="8"/>
  <c r="DQ25" i="8"/>
  <c r="DQ8" i="8"/>
  <c r="DQ19" i="8"/>
  <c r="DR28" i="8"/>
  <c r="X12" i="8"/>
  <c r="DQ5" i="8"/>
  <c r="DQ28" i="8" s="1"/>
  <c r="DR5" i="8"/>
  <c r="GL5" i="8" s="1"/>
  <c r="FW5" i="8"/>
  <c r="FW28" i="8" s="1"/>
  <c r="FZ4" i="6"/>
  <c r="FM4" i="6"/>
  <c r="GO4" i="6" s="1"/>
  <c r="EQ4" i="6"/>
  <c r="EV4" i="6" s="1"/>
  <c r="FK16" i="6"/>
  <c r="FL16" i="6"/>
  <c r="EP16" i="6"/>
  <c r="EQ16" i="6" s="1"/>
  <c r="EV16" i="6" s="1"/>
  <c r="FK12" i="6"/>
  <c r="FL12" i="6"/>
  <c r="EP12" i="6"/>
  <c r="EQ12" i="6" s="1"/>
  <c r="EV12" i="6" s="1"/>
  <c r="EP22" i="6"/>
  <c r="EQ22" i="6" s="1"/>
  <c r="EV22" i="6" s="1"/>
  <c r="FL22" i="6"/>
  <c r="FK22" i="6"/>
  <c r="FK18" i="6"/>
  <c r="FL18" i="6"/>
  <c r="EP18" i="6"/>
  <c r="EQ18" i="6" s="1"/>
  <c r="EV18" i="6" s="1"/>
  <c r="FK10" i="6"/>
  <c r="FL10" i="6"/>
  <c r="EP10" i="6"/>
  <c r="EQ10" i="6" s="1"/>
  <c r="EV10" i="6" s="1"/>
  <c r="FK9" i="6"/>
  <c r="FL9" i="6"/>
  <c r="EP9" i="6"/>
  <c r="EQ9" i="6" s="1"/>
  <c r="EV9" i="6" s="1"/>
  <c r="EP6" i="6"/>
  <c r="EQ6" i="6" s="1"/>
  <c r="EV6" i="6" s="1"/>
  <c r="FK6" i="6"/>
  <c r="FL6" i="6"/>
  <c r="FK24" i="6"/>
  <c r="FL24" i="6"/>
  <c r="FZ24" i="6" s="1"/>
  <c r="EP24" i="6"/>
  <c r="EQ24" i="6" s="1"/>
  <c r="EV24" i="6" s="1"/>
  <c r="FL23" i="6"/>
  <c r="FZ23" i="6" s="1"/>
  <c r="FK23" i="6"/>
  <c r="EP23" i="6"/>
  <c r="EQ23" i="6" s="1"/>
  <c r="EV23" i="6" s="1"/>
  <c r="FK19" i="6"/>
  <c r="FL19" i="6"/>
  <c r="EP19" i="6"/>
  <c r="EQ19" i="6" s="1"/>
  <c r="EV19" i="6" s="1"/>
  <c r="FK20" i="6"/>
  <c r="FL20" i="6"/>
  <c r="EP20" i="6"/>
  <c r="EQ20" i="6" s="1"/>
  <c r="EV20" i="6" s="1"/>
  <c r="FK21" i="6"/>
  <c r="FL21" i="6"/>
  <c r="EP21" i="6"/>
  <c r="EQ21" i="6" s="1"/>
  <c r="EV21" i="6" s="1"/>
  <c r="EP25" i="6"/>
  <c r="EQ25" i="6" s="1"/>
  <c r="EV25" i="6" s="1"/>
  <c r="FL25" i="6"/>
  <c r="FK25" i="6"/>
  <c r="FK13" i="6"/>
  <c r="FL13" i="6"/>
  <c r="EP13" i="6"/>
  <c r="EQ13" i="6" s="1"/>
  <c r="EV13" i="6" s="1"/>
  <c r="FL26" i="6"/>
  <c r="FK26" i="6"/>
  <c r="EP26" i="6"/>
  <c r="EQ26" i="6" s="1"/>
  <c r="EV26" i="6" s="1"/>
  <c r="FK17" i="6"/>
  <c r="FL17" i="6"/>
  <c r="EP17" i="6"/>
  <c r="EQ17" i="6" s="1"/>
  <c r="EV17" i="6" s="1"/>
  <c r="FK14" i="6"/>
  <c r="FL14" i="6"/>
  <c r="EP14" i="6"/>
  <c r="EQ14" i="6" s="1"/>
  <c r="EV14" i="6" s="1"/>
  <c r="FK15" i="6"/>
  <c r="FL15" i="6"/>
  <c r="EP15" i="6"/>
  <c r="EQ15" i="6" s="1"/>
  <c r="EV15" i="6" s="1"/>
  <c r="FK11" i="6"/>
  <c r="FL11" i="6"/>
  <c r="EP11" i="6"/>
  <c r="EQ11" i="6" s="1"/>
  <c r="EV11" i="6" s="1"/>
  <c r="FK7" i="6"/>
  <c r="FL7" i="6"/>
  <c r="EP7" i="6"/>
  <c r="EQ7" i="6" s="1"/>
  <c r="EV7" i="6" s="1"/>
  <c r="FL5" i="6"/>
  <c r="FK5" i="6"/>
  <c r="EP5" i="6"/>
  <c r="FK8" i="6"/>
  <c r="FL8" i="6"/>
  <c r="FZ8" i="6" s="1"/>
  <c r="EP8" i="6"/>
  <c r="EQ8" i="6" s="1"/>
  <c r="EV8" i="6" s="1"/>
  <c r="EP27" i="6"/>
  <c r="EQ27" i="6" s="1"/>
  <c r="EV27" i="6" s="1"/>
  <c r="FL27" i="6"/>
  <c r="FZ27" i="6" s="1"/>
  <c r="FK27" i="6"/>
  <c r="FL27" i="4"/>
  <c r="FZ27" i="4" s="1"/>
  <c r="FK27" i="4"/>
  <c r="EP27" i="4"/>
  <c r="EQ27" i="4" s="1"/>
  <c r="EV27" i="4" s="1"/>
  <c r="FL23" i="4"/>
  <c r="FZ23" i="4" s="1"/>
  <c r="FK23" i="4"/>
  <c r="EP23" i="4"/>
  <c r="EQ23" i="4" s="1"/>
  <c r="EV23" i="4" s="1"/>
  <c r="FL24" i="4"/>
  <c r="FZ24" i="4" s="1"/>
  <c r="FK24" i="4"/>
  <c r="EP24" i="4"/>
  <c r="EQ24" i="4" s="1"/>
  <c r="EV24" i="4" s="1"/>
  <c r="FL25" i="4"/>
  <c r="FK25" i="4"/>
  <c r="EP25" i="4"/>
  <c r="EQ25" i="4" s="1"/>
  <c r="EV25" i="4" s="1"/>
  <c r="FL22" i="4"/>
  <c r="FK22" i="4"/>
  <c r="EP22" i="4"/>
  <c r="EQ22" i="4" s="1"/>
  <c r="EV22" i="4" s="1"/>
  <c r="FL20" i="4"/>
  <c r="FK20" i="4"/>
  <c r="EP20" i="4"/>
  <c r="EQ20" i="4" s="1"/>
  <c r="EV20" i="4" s="1"/>
  <c r="FL19" i="4"/>
  <c r="FK19" i="4"/>
  <c r="EP19" i="4"/>
  <c r="EQ19" i="4" s="1"/>
  <c r="EV19" i="4" s="1"/>
  <c r="FL17" i="4"/>
  <c r="FK17" i="4"/>
  <c r="EP17" i="4"/>
  <c r="EQ17" i="4" s="1"/>
  <c r="EV17" i="4" s="1"/>
  <c r="FL16" i="4"/>
  <c r="FK16" i="4"/>
  <c r="EP16" i="4"/>
  <c r="EQ16" i="4" s="1"/>
  <c r="EV16" i="4" s="1"/>
  <c r="FL12" i="4"/>
  <c r="FK12" i="4"/>
  <c r="EP12" i="4"/>
  <c r="EQ12" i="4" s="1"/>
  <c r="EV12" i="4" s="1"/>
  <c r="FK6" i="4"/>
  <c r="FL6" i="4"/>
  <c r="EP6" i="4"/>
  <c r="EQ6" i="4" s="1"/>
  <c r="EV6" i="4" s="1"/>
  <c r="FL9" i="4"/>
  <c r="FK9" i="4"/>
  <c r="EP9" i="4"/>
  <c r="EQ9" i="4" s="1"/>
  <c r="EV9" i="4" s="1"/>
  <c r="FL21" i="4"/>
  <c r="FK21" i="4"/>
  <c r="EP21" i="4"/>
  <c r="EQ21" i="4" s="1"/>
  <c r="EV21" i="4" s="1"/>
  <c r="FL18" i="4"/>
  <c r="FK18" i="4"/>
  <c r="EP18" i="4"/>
  <c r="EQ18" i="4" s="1"/>
  <c r="EV18" i="4" s="1"/>
  <c r="FL13" i="4"/>
  <c r="FK13" i="4"/>
  <c r="EP13" i="4"/>
  <c r="EQ13" i="4" s="1"/>
  <c r="EV13" i="4" s="1"/>
  <c r="FL11" i="4"/>
  <c r="FK11" i="4"/>
  <c r="EP11" i="4"/>
  <c r="EQ11" i="4" s="1"/>
  <c r="EV11" i="4" s="1"/>
  <c r="FK10" i="4"/>
  <c r="FL10" i="4"/>
  <c r="EP10" i="4"/>
  <c r="EQ10" i="4" s="1"/>
  <c r="EV10" i="4" s="1"/>
  <c r="FL5" i="4"/>
  <c r="FK5" i="4"/>
  <c r="EP5" i="4"/>
  <c r="EQ5" i="4" s="1"/>
  <c r="EV5" i="4" s="1"/>
  <c r="Y28" i="4"/>
  <c r="FK28" i="4" s="1"/>
  <c r="FL4" i="4"/>
  <c r="FK4" i="4"/>
  <c r="EP4" i="4"/>
  <c r="FL7" i="4"/>
  <c r="FK7" i="4"/>
  <c r="EP7" i="4"/>
  <c r="EQ7" i="4" s="1"/>
  <c r="EV7" i="4" s="1"/>
  <c r="FK8" i="4"/>
  <c r="FL8" i="4"/>
  <c r="FZ8" i="4" s="1"/>
  <c r="EP8" i="4"/>
  <c r="EQ8" i="4" s="1"/>
  <c r="EV8" i="4" s="1"/>
  <c r="FL26" i="4"/>
  <c r="FK26" i="4"/>
  <c r="EP26" i="4"/>
  <c r="EQ26" i="4" s="1"/>
  <c r="EV26" i="4" s="1"/>
  <c r="FL14" i="4"/>
  <c r="FK14" i="4"/>
  <c r="EP14" i="4"/>
  <c r="EQ14" i="4" s="1"/>
  <c r="EV14" i="4" s="1"/>
  <c r="FL15" i="4"/>
  <c r="FK15" i="4"/>
  <c r="EP15" i="4"/>
  <c r="EQ15" i="4" s="1"/>
  <c r="EV15" i="4" s="1"/>
  <c r="C10" i="2"/>
  <c r="EI7" i="2" s="1"/>
  <c r="EI5" i="2" s="1"/>
  <c r="ES28" i="2" s="1"/>
  <c r="MF20" i="1"/>
  <c r="MG20" i="1" s="1"/>
  <c r="MN20" i="1"/>
  <c r="MO20" i="1" s="1"/>
  <c r="MP20" i="1" s="1"/>
  <c r="MD20" i="1"/>
  <c r="C9" i="2"/>
  <c r="DZ28" i="2" s="1"/>
  <c r="MF19" i="1"/>
  <c r="MG19" i="1" s="1"/>
  <c r="MD19" i="1"/>
  <c r="MN19" i="1"/>
  <c r="MO19" i="1" s="1"/>
  <c r="MP19" i="1" s="1"/>
  <c r="MD18" i="1"/>
  <c r="C8" i="2"/>
  <c r="MF18" i="1"/>
  <c r="MG18" i="1" s="1"/>
  <c r="MN18" i="1"/>
  <c r="MO18" i="1" s="1"/>
  <c r="MP18" i="1" s="1"/>
  <c r="MD15" i="1"/>
  <c r="MF15" i="1"/>
  <c r="C5" i="2"/>
  <c r="AL4" i="2" s="1"/>
  <c r="AL6" i="2" s="1"/>
  <c r="AW27" i="2" s="1"/>
  <c r="AX27" i="2" s="1"/>
  <c r="MN15" i="1"/>
  <c r="MO15" i="1" s="1"/>
  <c r="MP15" i="1" s="1"/>
  <c r="Q21" i="1"/>
  <c r="P21" i="1"/>
  <c r="O21" i="1"/>
  <c r="R21" i="1" s="1"/>
  <c r="MC21" i="1"/>
  <c r="JV26" i="1"/>
  <c r="KD8" i="1"/>
  <c r="LK8" i="1" s="1"/>
  <c r="CL17" i="2"/>
  <c r="CL7" i="2"/>
  <c r="CL21" i="2"/>
  <c r="CL8" i="2"/>
  <c r="CL18" i="2"/>
  <c r="CL10" i="2"/>
  <c r="CL9" i="2"/>
  <c r="CL27" i="2"/>
  <c r="CL16" i="2"/>
  <c r="CL26" i="2"/>
  <c r="CL15" i="2"/>
  <c r="CL23" i="2"/>
  <c r="CL22" i="2"/>
  <c r="CL12" i="2"/>
  <c r="CL13" i="2"/>
  <c r="CL6" i="2"/>
  <c r="CL11" i="2"/>
  <c r="CL5" i="2"/>
  <c r="CL24" i="2"/>
  <c r="CL14" i="2"/>
  <c r="CL25" i="2"/>
  <c r="CL19" i="2"/>
  <c r="CL4" i="2"/>
  <c r="CL20" i="2"/>
  <c r="CN10" i="2"/>
  <c r="CN23" i="2"/>
  <c r="CN5" i="2"/>
  <c r="CN22" i="2"/>
  <c r="CN7" i="2"/>
  <c r="CN14" i="2"/>
  <c r="CN17" i="2"/>
  <c r="CN19" i="2"/>
  <c r="CN25" i="2"/>
  <c r="CN8" i="2"/>
  <c r="CN13" i="2"/>
  <c r="CN21" i="2"/>
  <c r="CN18" i="2"/>
  <c r="CN15" i="2"/>
  <c r="CN9" i="2"/>
  <c r="CN4" i="2"/>
  <c r="CN11" i="2"/>
  <c r="CN27" i="2"/>
  <c r="CN20" i="2"/>
  <c r="CN6" i="2"/>
  <c r="CN12" i="2"/>
  <c r="CN24" i="2"/>
  <c r="CN26" i="2"/>
  <c r="CN16" i="2"/>
  <c r="GB5" i="10" l="1"/>
  <c r="GP5" i="10" s="1"/>
  <c r="GY5" i="10"/>
  <c r="EX4" i="10"/>
  <c r="GN4" i="10" s="1"/>
  <c r="FY4" i="10"/>
  <c r="EV28" i="10"/>
  <c r="EW4" i="10" s="1"/>
  <c r="IR23" i="10"/>
  <c r="IX23" i="10" s="1"/>
  <c r="HC23" i="10"/>
  <c r="IR27" i="10"/>
  <c r="IX27" i="10" s="1"/>
  <c r="HC27" i="10"/>
  <c r="IR8" i="10"/>
  <c r="IX8" i="10" s="1"/>
  <c r="HC8" i="10"/>
  <c r="IR24" i="10"/>
  <c r="IX24" i="10" s="1"/>
  <c r="HC24" i="10"/>
  <c r="GB11" i="10"/>
  <c r="GP11" i="10" s="1"/>
  <c r="GY11" i="10"/>
  <c r="GB9" i="10"/>
  <c r="GP9" i="10" s="1"/>
  <c r="GY9" i="10"/>
  <c r="GB10" i="10"/>
  <c r="GP10" i="10" s="1"/>
  <c r="GY10" i="10"/>
  <c r="GB25" i="10"/>
  <c r="GP25" i="10" s="1"/>
  <c r="GY25" i="10"/>
  <c r="FZ28" i="10"/>
  <c r="GO28" i="10" s="1"/>
  <c r="GA13" i="10"/>
  <c r="GA14" i="10"/>
  <c r="GA7" i="10"/>
  <c r="GA6" i="10"/>
  <c r="GA16" i="10"/>
  <c r="GA12" i="10"/>
  <c r="GA22" i="10"/>
  <c r="GA21" i="10"/>
  <c r="GA19" i="10"/>
  <c r="GA26" i="10"/>
  <c r="GA15" i="10"/>
  <c r="GA18" i="10"/>
  <c r="GA20" i="10"/>
  <c r="GA17" i="10"/>
  <c r="Y27" i="8"/>
  <c r="Y9" i="8"/>
  <c r="Y23" i="8"/>
  <c r="Y13" i="8"/>
  <c r="Y14" i="8"/>
  <c r="Y15" i="8"/>
  <c r="Y19" i="8"/>
  <c r="Y8" i="8"/>
  <c r="Y17" i="8"/>
  <c r="Y20" i="8"/>
  <c r="Y21" i="8"/>
  <c r="Y6" i="8"/>
  <c r="Y7" i="8"/>
  <c r="Y16" i="8"/>
  <c r="Y24" i="8"/>
  <c r="Y26" i="8"/>
  <c r="Y10" i="8"/>
  <c r="Y11" i="8"/>
  <c r="Y18" i="8"/>
  <c r="Y22" i="8"/>
  <c r="Y25" i="8"/>
  <c r="GL28" i="8"/>
  <c r="Y5" i="8"/>
  <c r="X5" i="8"/>
  <c r="X28" i="8" s="1"/>
  <c r="Y4" i="8"/>
  <c r="Y12" i="8"/>
  <c r="EV28" i="6"/>
  <c r="FY4" i="6"/>
  <c r="EX4" i="6"/>
  <c r="GN4" i="6" s="1"/>
  <c r="FM16" i="6"/>
  <c r="GO16" i="6" s="1"/>
  <c r="FZ16" i="6"/>
  <c r="FY16" i="6"/>
  <c r="EX16" i="6"/>
  <c r="GN16" i="6" s="1"/>
  <c r="EW16" i="6"/>
  <c r="FM12" i="6"/>
  <c r="GO12" i="6" s="1"/>
  <c r="FZ12" i="6"/>
  <c r="FY12" i="6"/>
  <c r="GA12" i="6" s="1"/>
  <c r="EX12" i="6"/>
  <c r="GN12" i="6" s="1"/>
  <c r="EW12" i="6"/>
  <c r="FY22" i="6"/>
  <c r="EW22" i="6"/>
  <c r="EX22" i="6"/>
  <c r="GN22" i="6" s="1"/>
  <c r="FZ22" i="6"/>
  <c r="FM22" i="6"/>
  <c r="GO22" i="6" s="1"/>
  <c r="FZ18" i="6"/>
  <c r="FM18" i="6"/>
  <c r="GO18" i="6" s="1"/>
  <c r="EX18" i="6"/>
  <c r="GN18" i="6" s="1"/>
  <c r="FY18" i="6"/>
  <c r="GA18" i="6" s="1"/>
  <c r="EW18" i="6"/>
  <c r="FZ10" i="6"/>
  <c r="FM10" i="6"/>
  <c r="GO10" i="6" s="1"/>
  <c r="EX10" i="6"/>
  <c r="GN10" i="6" s="1"/>
  <c r="FY10" i="6"/>
  <c r="GA10" i="6" s="1"/>
  <c r="EW10" i="6"/>
  <c r="FZ9" i="6"/>
  <c r="FM9" i="6"/>
  <c r="GO9" i="6" s="1"/>
  <c r="FY9" i="6"/>
  <c r="GA9" i="6" s="1"/>
  <c r="EX9" i="6"/>
  <c r="GN9" i="6" s="1"/>
  <c r="EW9" i="6"/>
  <c r="FY6" i="6"/>
  <c r="EX6" i="6"/>
  <c r="GN6" i="6" s="1"/>
  <c r="EW6" i="6"/>
  <c r="FZ6" i="6"/>
  <c r="FM6" i="6"/>
  <c r="GO6" i="6" s="1"/>
  <c r="FY24" i="6"/>
  <c r="GA24" i="6" s="1"/>
  <c r="GY24" i="6" s="1"/>
  <c r="EW24" i="6"/>
  <c r="FY23" i="6"/>
  <c r="GA23" i="6" s="1"/>
  <c r="GY23" i="6" s="1"/>
  <c r="EW23" i="6"/>
  <c r="FM19" i="6"/>
  <c r="GO19" i="6" s="1"/>
  <c r="FZ19" i="6"/>
  <c r="FY19" i="6"/>
  <c r="GA19" i="6" s="1"/>
  <c r="EX19" i="6"/>
  <c r="GN19" i="6" s="1"/>
  <c r="EW19" i="6"/>
  <c r="FZ20" i="6"/>
  <c r="FM20" i="6"/>
  <c r="GO20" i="6" s="1"/>
  <c r="EX20" i="6"/>
  <c r="GN20" i="6" s="1"/>
  <c r="FY20" i="6"/>
  <c r="GA20" i="6" s="1"/>
  <c r="EW20" i="6"/>
  <c r="FZ21" i="6"/>
  <c r="FM21" i="6"/>
  <c r="GO21" i="6" s="1"/>
  <c r="FY21" i="6"/>
  <c r="GA21" i="6" s="1"/>
  <c r="EX21" i="6"/>
  <c r="GN21" i="6" s="1"/>
  <c r="EW21" i="6"/>
  <c r="FY25" i="6"/>
  <c r="EX25" i="6"/>
  <c r="GN25" i="6" s="1"/>
  <c r="EW25" i="6"/>
  <c r="FZ25" i="6"/>
  <c r="FM25" i="6"/>
  <c r="GO25" i="6" s="1"/>
  <c r="FM13" i="6"/>
  <c r="GO13" i="6" s="1"/>
  <c r="FZ13" i="6"/>
  <c r="FY13" i="6"/>
  <c r="GA13" i="6" s="1"/>
  <c r="EX13" i="6"/>
  <c r="GN13" i="6" s="1"/>
  <c r="EW13" i="6"/>
  <c r="FM26" i="6"/>
  <c r="GO26" i="6" s="1"/>
  <c r="FZ26" i="6"/>
  <c r="FY26" i="6"/>
  <c r="GA26" i="6" s="1"/>
  <c r="EW26" i="6"/>
  <c r="EX26" i="6"/>
  <c r="GN26" i="6" s="1"/>
  <c r="FZ17" i="6"/>
  <c r="FM17" i="6"/>
  <c r="GO17" i="6" s="1"/>
  <c r="EX17" i="6"/>
  <c r="GN17" i="6" s="1"/>
  <c r="FY17" i="6"/>
  <c r="GA17" i="6" s="1"/>
  <c r="EW17" i="6"/>
  <c r="FZ14" i="6"/>
  <c r="FM14" i="6"/>
  <c r="GO14" i="6" s="1"/>
  <c r="EX14" i="6"/>
  <c r="GN14" i="6" s="1"/>
  <c r="FY14" i="6"/>
  <c r="GA14" i="6" s="1"/>
  <c r="EW14" i="6"/>
  <c r="FZ15" i="6"/>
  <c r="FM15" i="6"/>
  <c r="GO15" i="6" s="1"/>
  <c r="EX15" i="6"/>
  <c r="GN15" i="6" s="1"/>
  <c r="FY15" i="6"/>
  <c r="GA15" i="6" s="1"/>
  <c r="EW15" i="6"/>
  <c r="FZ11" i="6"/>
  <c r="FM11" i="6"/>
  <c r="GO11" i="6" s="1"/>
  <c r="FY11" i="6"/>
  <c r="GA11" i="6" s="1"/>
  <c r="EX11" i="6"/>
  <c r="GN11" i="6" s="1"/>
  <c r="EW11" i="6"/>
  <c r="FM7" i="6"/>
  <c r="GO7" i="6" s="1"/>
  <c r="FZ7" i="6"/>
  <c r="FY7" i="6"/>
  <c r="EX7" i="6"/>
  <c r="GN7" i="6" s="1"/>
  <c r="EW7" i="6"/>
  <c r="FZ5" i="6"/>
  <c r="FZ28" i="6" s="1"/>
  <c r="GO28" i="6" s="1"/>
  <c r="FM5" i="6"/>
  <c r="GO5" i="6" s="1"/>
  <c r="FY8" i="6"/>
  <c r="GA8" i="6" s="1"/>
  <c r="GY8" i="6" s="1"/>
  <c r="EW8" i="6"/>
  <c r="FY27" i="6"/>
  <c r="GA27" i="6" s="1"/>
  <c r="GY27" i="6" s="1"/>
  <c r="EW27" i="6"/>
  <c r="EQ5" i="6"/>
  <c r="EV5" i="6" s="1"/>
  <c r="EP28" i="6"/>
  <c r="FY27" i="4"/>
  <c r="GA27" i="4" s="1"/>
  <c r="GY27" i="4" s="1"/>
  <c r="FY23" i="4"/>
  <c r="GA23" i="4" s="1"/>
  <c r="GY23" i="4" s="1"/>
  <c r="FY24" i="4"/>
  <c r="GA24" i="4" s="1"/>
  <c r="GY24" i="4" s="1"/>
  <c r="FZ25" i="4"/>
  <c r="FM25" i="4"/>
  <c r="GO25" i="4" s="1"/>
  <c r="EX25" i="4"/>
  <c r="GN25" i="4" s="1"/>
  <c r="FY25" i="4"/>
  <c r="GA25" i="4" s="1"/>
  <c r="FZ22" i="4"/>
  <c r="FM22" i="4"/>
  <c r="GO22" i="4" s="1"/>
  <c r="FY22" i="4"/>
  <c r="GA22" i="4" s="1"/>
  <c r="EX22" i="4"/>
  <c r="GN22" i="4" s="1"/>
  <c r="FM20" i="4"/>
  <c r="GO20" i="4" s="1"/>
  <c r="FZ20" i="4"/>
  <c r="FY20" i="4"/>
  <c r="EX20" i="4"/>
  <c r="GN20" i="4" s="1"/>
  <c r="FZ19" i="4"/>
  <c r="FM19" i="4"/>
  <c r="GO19" i="4" s="1"/>
  <c r="FY19" i="4"/>
  <c r="GA19" i="4" s="1"/>
  <c r="EX19" i="4"/>
  <c r="GN19" i="4" s="1"/>
  <c r="FZ17" i="4"/>
  <c r="FM17" i="4"/>
  <c r="GO17" i="4" s="1"/>
  <c r="FY17" i="4"/>
  <c r="GA17" i="4" s="1"/>
  <c r="EX17" i="4"/>
  <c r="GN17" i="4" s="1"/>
  <c r="FZ16" i="4"/>
  <c r="FM16" i="4"/>
  <c r="GO16" i="4" s="1"/>
  <c r="FY16" i="4"/>
  <c r="GA16" i="4" s="1"/>
  <c r="EX16" i="4"/>
  <c r="GN16" i="4" s="1"/>
  <c r="FZ12" i="4"/>
  <c r="FM12" i="4"/>
  <c r="GO12" i="4" s="1"/>
  <c r="FY12" i="4"/>
  <c r="GA12" i="4" s="1"/>
  <c r="EX12" i="4"/>
  <c r="GN12" i="4" s="1"/>
  <c r="FM6" i="4"/>
  <c r="GO6" i="4" s="1"/>
  <c r="FZ6" i="4"/>
  <c r="FY6" i="4"/>
  <c r="GA6" i="4" s="1"/>
  <c r="EX6" i="4"/>
  <c r="GN6" i="4" s="1"/>
  <c r="FZ9" i="4"/>
  <c r="FM9" i="4"/>
  <c r="GO9" i="4" s="1"/>
  <c r="FY9" i="4"/>
  <c r="GA9" i="4" s="1"/>
  <c r="EX9" i="4"/>
  <c r="GN9" i="4" s="1"/>
  <c r="FZ21" i="4"/>
  <c r="FM21" i="4"/>
  <c r="GO21" i="4" s="1"/>
  <c r="FY21" i="4"/>
  <c r="GA21" i="4" s="1"/>
  <c r="EX21" i="4"/>
  <c r="GN21" i="4" s="1"/>
  <c r="FZ18" i="4"/>
  <c r="FM18" i="4"/>
  <c r="GO18" i="4" s="1"/>
  <c r="EX18" i="4"/>
  <c r="GN18" i="4" s="1"/>
  <c r="FY18" i="4"/>
  <c r="GA18" i="4" s="1"/>
  <c r="FZ13" i="4"/>
  <c r="FM13" i="4"/>
  <c r="GO13" i="4" s="1"/>
  <c r="FY13" i="4"/>
  <c r="EX13" i="4"/>
  <c r="GN13" i="4" s="1"/>
  <c r="FM11" i="4"/>
  <c r="GO11" i="4" s="1"/>
  <c r="FZ11" i="4"/>
  <c r="FY11" i="4"/>
  <c r="GA11" i="4" s="1"/>
  <c r="EX11" i="4"/>
  <c r="GN11" i="4" s="1"/>
  <c r="FM10" i="4"/>
  <c r="GO10" i="4" s="1"/>
  <c r="FZ10" i="4"/>
  <c r="FY10" i="4"/>
  <c r="GA10" i="4" s="1"/>
  <c r="EX10" i="4"/>
  <c r="GN10" i="4" s="1"/>
  <c r="FM5" i="4"/>
  <c r="GO5" i="4" s="1"/>
  <c r="FZ5" i="4"/>
  <c r="FY5" i="4"/>
  <c r="GA5" i="4" s="1"/>
  <c r="EX5" i="4"/>
  <c r="GN5" i="4" s="1"/>
  <c r="FM4" i="4"/>
  <c r="GO4" i="4" s="1"/>
  <c r="FZ4" i="4"/>
  <c r="FZ28" i="4" s="1"/>
  <c r="GO28" i="4" s="1"/>
  <c r="EP28" i="4"/>
  <c r="EQ4" i="4"/>
  <c r="EV4" i="4" s="1"/>
  <c r="FZ7" i="4"/>
  <c r="FM7" i="4"/>
  <c r="GO7" i="4" s="1"/>
  <c r="FY7" i="4"/>
  <c r="GA7" i="4" s="1"/>
  <c r="EX7" i="4"/>
  <c r="GN7" i="4" s="1"/>
  <c r="FY8" i="4"/>
  <c r="GA8" i="4" s="1"/>
  <c r="GY8" i="4" s="1"/>
  <c r="FZ26" i="4"/>
  <c r="FM26" i="4"/>
  <c r="GO26" i="4" s="1"/>
  <c r="FY26" i="4"/>
  <c r="GA26" i="4" s="1"/>
  <c r="EX26" i="4"/>
  <c r="GN26" i="4" s="1"/>
  <c r="FZ14" i="4"/>
  <c r="FM14" i="4"/>
  <c r="GO14" i="4" s="1"/>
  <c r="FY14" i="4"/>
  <c r="GA14" i="4" s="1"/>
  <c r="EX14" i="4"/>
  <c r="GN14" i="4" s="1"/>
  <c r="FZ15" i="4"/>
  <c r="FM15" i="4"/>
  <c r="GO15" i="4" s="1"/>
  <c r="FY15" i="4"/>
  <c r="GA15" i="4" s="1"/>
  <c r="EX15" i="4"/>
  <c r="GN15" i="4" s="1"/>
  <c r="EI4" i="2"/>
  <c r="EQ28" i="2" s="1"/>
  <c r="EI6" i="2"/>
  <c r="EU28" i="2" s="1"/>
  <c r="EA28" i="2"/>
  <c r="DZ8" i="2"/>
  <c r="DZ19" i="2"/>
  <c r="DZ22" i="2"/>
  <c r="DZ16" i="2"/>
  <c r="DZ4" i="2"/>
  <c r="DZ6" i="2"/>
  <c r="DZ25" i="2"/>
  <c r="DZ7" i="2"/>
  <c r="DZ15" i="2"/>
  <c r="DZ14" i="2"/>
  <c r="DZ17" i="2"/>
  <c r="DZ24" i="2"/>
  <c r="DZ10" i="2"/>
  <c r="DZ11" i="2"/>
  <c r="DZ18" i="2"/>
  <c r="DZ5" i="2"/>
  <c r="DZ20" i="2"/>
  <c r="DZ21" i="2"/>
  <c r="DZ12" i="2"/>
  <c r="DZ9" i="2"/>
  <c r="DZ23" i="2"/>
  <c r="FX23" i="2" s="1"/>
  <c r="DZ27" i="2"/>
  <c r="DZ26" i="2"/>
  <c r="DZ13" i="2"/>
  <c r="MG15" i="1"/>
  <c r="MF21" i="1"/>
  <c r="AW23" i="2"/>
  <c r="AX23" i="2" s="1"/>
  <c r="FT23" i="2" s="1"/>
  <c r="AW22" i="2"/>
  <c r="AX22" i="2" s="1"/>
  <c r="AW21" i="2"/>
  <c r="AX21" i="2" s="1"/>
  <c r="AW26" i="2"/>
  <c r="AX26" i="2" s="1"/>
  <c r="AW24" i="2"/>
  <c r="AX24" i="2" s="1"/>
  <c r="FT24" i="2" s="1"/>
  <c r="AW16" i="2"/>
  <c r="AX16" i="2" s="1"/>
  <c r="AW20" i="2"/>
  <c r="AX20" i="2" s="1"/>
  <c r="AW18" i="2"/>
  <c r="AX18" i="2" s="1"/>
  <c r="AW13" i="2"/>
  <c r="AX13" i="2" s="1"/>
  <c r="AW19" i="2"/>
  <c r="AX19" i="2" s="1"/>
  <c r="AW11" i="2"/>
  <c r="AX11" i="2" s="1"/>
  <c r="AW25" i="2"/>
  <c r="AX25" i="2" s="1"/>
  <c r="AW14" i="2"/>
  <c r="AX14" i="2" s="1"/>
  <c r="AW12" i="2"/>
  <c r="AX12" i="2" s="1"/>
  <c r="AW17" i="2"/>
  <c r="AX17" i="2" s="1"/>
  <c r="AW7" i="2"/>
  <c r="AX7" i="2" s="1"/>
  <c r="AW15" i="2"/>
  <c r="AX15" i="2" s="1"/>
  <c r="AW10" i="2"/>
  <c r="AX10" i="2" s="1"/>
  <c r="AW4" i="2"/>
  <c r="AW8" i="2"/>
  <c r="AX8" i="2" s="1"/>
  <c r="AW6" i="2"/>
  <c r="AX6" i="2" s="1"/>
  <c r="AW9" i="2"/>
  <c r="AX9" i="2" s="1"/>
  <c r="FT9" i="2" s="1"/>
  <c r="AW5" i="2"/>
  <c r="AX5" i="2" s="1"/>
  <c r="LW7" i="1"/>
  <c r="LW9" i="1" s="1"/>
  <c r="LW12" i="1" s="1"/>
  <c r="LW13" i="1" s="1"/>
  <c r="MC23" i="1" s="1"/>
  <c r="MD21" i="1"/>
  <c r="MN21" i="1"/>
  <c r="MO21" i="1" s="1"/>
  <c r="MP21" i="1" s="1"/>
  <c r="N10" i="1"/>
  <c r="KD26" i="1"/>
  <c r="KD27" i="1" s="1"/>
  <c r="JV27" i="1"/>
  <c r="MC31" i="1"/>
  <c r="MD31" i="1" s="1"/>
  <c r="LK26" i="1"/>
  <c r="LQ8" i="1"/>
  <c r="CO11" i="2"/>
  <c r="CO25" i="2"/>
  <c r="CO7" i="2"/>
  <c r="CO22" i="2"/>
  <c r="FV22" i="2" s="1"/>
  <c r="CO26" i="2"/>
  <c r="CQ26" i="2" s="1"/>
  <c r="GK26" i="2" s="1"/>
  <c r="CO19" i="2"/>
  <c r="CO5" i="2"/>
  <c r="CQ5" i="2" s="1"/>
  <c r="GK5" i="2" s="1"/>
  <c r="CO9" i="2"/>
  <c r="FV9" i="2" s="1"/>
  <c r="CO15" i="2"/>
  <c r="FV15" i="2" s="1"/>
  <c r="CO4" i="2"/>
  <c r="FV4" i="2" s="1"/>
  <c r="CO10" i="2"/>
  <c r="CO16" i="2"/>
  <c r="FV16" i="2" s="1"/>
  <c r="CO21" i="2"/>
  <c r="FV21" i="2" s="1"/>
  <c r="FT27" i="2"/>
  <c r="AZ27" i="2"/>
  <c r="GI27" i="2" s="1"/>
  <c r="AZ9" i="2"/>
  <c r="GI9" i="2" s="1"/>
  <c r="CO23" i="2"/>
  <c r="CO18" i="2"/>
  <c r="CO24" i="2"/>
  <c r="CO8" i="2"/>
  <c r="CQ8" i="2" s="1"/>
  <c r="GK8" i="2" s="1"/>
  <c r="AZ24" i="2"/>
  <c r="GI24" i="2" s="1"/>
  <c r="CO13" i="2"/>
  <c r="CO12" i="2"/>
  <c r="EA23" i="2"/>
  <c r="GM23" i="2" s="1"/>
  <c r="CO6" i="2"/>
  <c r="CO20" i="2"/>
  <c r="CO17" i="2"/>
  <c r="CO27" i="2"/>
  <c r="CO14" i="2"/>
  <c r="AZ23" i="2"/>
  <c r="GI23" i="2" s="1"/>
  <c r="HA5" i="10" l="1"/>
  <c r="IR5" i="10"/>
  <c r="IX5" i="10" s="1"/>
  <c r="IY5" i="10" s="1"/>
  <c r="GA4" i="10"/>
  <c r="FY28" i="10"/>
  <c r="EW10" i="10"/>
  <c r="EW23" i="10"/>
  <c r="EW15" i="10"/>
  <c r="EW19" i="10"/>
  <c r="EW21" i="10"/>
  <c r="EW7" i="10"/>
  <c r="EW25" i="10"/>
  <c r="EW17" i="10"/>
  <c r="EW22" i="10"/>
  <c r="EW14" i="10"/>
  <c r="EW6" i="10"/>
  <c r="EW13" i="10"/>
  <c r="EW8" i="10"/>
  <c r="EW5" i="10"/>
  <c r="EW26" i="10"/>
  <c r="EW20" i="10"/>
  <c r="EW12" i="10"/>
  <c r="EW16" i="10"/>
  <c r="EW9" i="10"/>
  <c r="EW11" i="10"/>
  <c r="EW27" i="10"/>
  <c r="EW18" i="10"/>
  <c r="EW24" i="10"/>
  <c r="EX28" i="10"/>
  <c r="HA11" i="10"/>
  <c r="IR11" i="10"/>
  <c r="IX11" i="10" s="1"/>
  <c r="IY11" i="10" s="1"/>
  <c r="HA9" i="10"/>
  <c r="IR9" i="10"/>
  <c r="IX9" i="10" s="1"/>
  <c r="IY9" i="10" s="1"/>
  <c r="HA10" i="10"/>
  <c r="IR10" i="10"/>
  <c r="IX10" i="10" s="1"/>
  <c r="IY10" i="10" s="1"/>
  <c r="HA25" i="10"/>
  <c r="IR25" i="10"/>
  <c r="IX25" i="10" s="1"/>
  <c r="IY25" i="10" s="1"/>
  <c r="GY13" i="10"/>
  <c r="GB13" i="10"/>
  <c r="GP13" i="10" s="1"/>
  <c r="GY14" i="10"/>
  <c r="GB14" i="10"/>
  <c r="GP14" i="10" s="1"/>
  <c r="GY7" i="10"/>
  <c r="GB7" i="10"/>
  <c r="GP7" i="10" s="1"/>
  <c r="GY6" i="10"/>
  <c r="GB6" i="10"/>
  <c r="GP6" i="10" s="1"/>
  <c r="GY16" i="10"/>
  <c r="GB16" i="10"/>
  <c r="GP16" i="10" s="1"/>
  <c r="GY12" i="10"/>
  <c r="GB12" i="10"/>
  <c r="GP12" i="10" s="1"/>
  <c r="GY22" i="10"/>
  <c r="GB22" i="10"/>
  <c r="GP22" i="10" s="1"/>
  <c r="GY21" i="10"/>
  <c r="GB21" i="10"/>
  <c r="GP21" i="10" s="1"/>
  <c r="GY19" i="10"/>
  <c r="GB19" i="10"/>
  <c r="GP19" i="10" s="1"/>
  <c r="GY26" i="10"/>
  <c r="GB26" i="10"/>
  <c r="GP26" i="10" s="1"/>
  <c r="GY15" i="10"/>
  <c r="GB15" i="10"/>
  <c r="GP15" i="10" s="1"/>
  <c r="GY18" i="10"/>
  <c r="GB18" i="10"/>
  <c r="GP18" i="10" s="1"/>
  <c r="GY20" i="10"/>
  <c r="GB20" i="10"/>
  <c r="GP20" i="10" s="1"/>
  <c r="GY17" i="10"/>
  <c r="GB17" i="10"/>
  <c r="GP17" i="10" s="1"/>
  <c r="EP27" i="8"/>
  <c r="EQ27" i="8" s="1"/>
  <c r="EV27" i="8" s="1"/>
  <c r="FK27" i="8"/>
  <c r="FL27" i="8"/>
  <c r="FZ27" i="8" s="1"/>
  <c r="FL9" i="8"/>
  <c r="FK9" i="8"/>
  <c r="EP9" i="8"/>
  <c r="EQ9" i="8" s="1"/>
  <c r="EV9" i="8" s="1"/>
  <c r="EP23" i="8"/>
  <c r="EQ23" i="8" s="1"/>
  <c r="EV23" i="8" s="1"/>
  <c r="FK23" i="8"/>
  <c r="FL23" i="8"/>
  <c r="FZ23" i="8" s="1"/>
  <c r="FL13" i="8"/>
  <c r="FK13" i="8"/>
  <c r="EP13" i="8"/>
  <c r="EQ13" i="8" s="1"/>
  <c r="EV13" i="8" s="1"/>
  <c r="FL14" i="8"/>
  <c r="FK14" i="8"/>
  <c r="EP14" i="8"/>
  <c r="EQ14" i="8" s="1"/>
  <c r="EV14" i="8" s="1"/>
  <c r="FL15" i="8"/>
  <c r="FK15" i="8"/>
  <c r="EP15" i="8"/>
  <c r="EQ15" i="8" s="1"/>
  <c r="EV15" i="8" s="1"/>
  <c r="FL19" i="8"/>
  <c r="FK19" i="8"/>
  <c r="EP19" i="8"/>
  <c r="EQ19" i="8" s="1"/>
  <c r="EV19" i="8" s="1"/>
  <c r="EP8" i="8"/>
  <c r="EQ8" i="8" s="1"/>
  <c r="EV8" i="8" s="1"/>
  <c r="FK8" i="8"/>
  <c r="FL8" i="8"/>
  <c r="FZ8" i="8" s="1"/>
  <c r="FL17" i="8"/>
  <c r="FK17" i="8"/>
  <c r="EP17" i="8"/>
  <c r="EQ17" i="8" s="1"/>
  <c r="EV17" i="8" s="1"/>
  <c r="FL20" i="8"/>
  <c r="FK20" i="8"/>
  <c r="EP20" i="8"/>
  <c r="EQ20" i="8" s="1"/>
  <c r="EV20" i="8" s="1"/>
  <c r="FL21" i="8"/>
  <c r="FK21" i="8"/>
  <c r="EP21" i="8"/>
  <c r="EQ21" i="8" s="1"/>
  <c r="EV21" i="8" s="1"/>
  <c r="FL6" i="8"/>
  <c r="FK6" i="8"/>
  <c r="EP6" i="8"/>
  <c r="EQ6" i="8" s="1"/>
  <c r="EV6" i="8" s="1"/>
  <c r="FL7" i="8"/>
  <c r="FK7" i="8"/>
  <c r="EP7" i="8"/>
  <c r="EQ7" i="8" s="1"/>
  <c r="EV7" i="8" s="1"/>
  <c r="FL16" i="8"/>
  <c r="FK16" i="8"/>
  <c r="EP16" i="8"/>
  <c r="EQ16" i="8" s="1"/>
  <c r="EV16" i="8" s="1"/>
  <c r="EP24" i="8"/>
  <c r="EQ24" i="8" s="1"/>
  <c r="EV24" i="8" s="1"/>
  <c r="FK24" i="8"/>
  <c r="FL24" i="8"/>
  <c r="FZ24" i="8" s="1"/>
  <c r="FK26" i="8"/>
  <c r="FL26" i="8"/>
  <c r="EP26" i="8"/>
  <c r="EQ26" i="8" s="1"/>
  <c r="EV26" i="8" s="1"/>
  <c r="FL10" i="8"/>
  <c r="FK10" i="8"/>
  <c r="EP10" i="8"/>
  <c r="EQ10" i="8" s="1"/>
  <c r="EV10" i="8" s="1"/>
  <c r="FL11" i="8"/>
  <c r="FK11" i="8"/>
  <c r="EP11" i="8"/>
  <c r="EQ11" i="8" s="1"/>
  <c r="EV11" i="8" s="1"/>
  <c r="FL18" i="8"/>
  <c r="FK18" i="8"/>
  <c r="EP18" i="8"/>
  <c r="EQ18" i="8" s="1"/>
  <c r="EV18" i="8" s="1"/>
  <c r="FL22" i="8"/>
  <c r="FK22" i="8"/>
  <c r="EP22" i="8"/>
  <c r="EQ22" i="8" s="1"/>
  <c r="EV22" i="8" s="1"/>
  <c r="FL25" i="8"/>
  <c r="FK25" i="8"/>
  <c r="EP25" i="8"/>
  <c r="EQ25" i="8" s="1"/>
  <c r="EV25" i="8" s="1"/>
  <c r="EP5" i="8"/>
  <c r="EQ5" i="8" s="1"/>
  <c r="EV5" i="8" s="1"/>
  <c r="FL5" i="8"/>
  <c r="FK5" i="8"/>
  <c r="Y28" i="8"/>
  <c r="FK28" i="8" s="1"/>
  <c r="FL4" i="8"/>
  <c r="FK4" i="8"/>
  <c r="EP4" i="8"/>
  <c r="FL12" i="8"/>
  <c r="FK12" i="8"/>
  <c r="EP12" i="8"/>
  <c r="EQ12" i="8" s="1"/>
  <c r="EV12" i="8" s="1"/>
  <c r="GA4" i="6"/>
  <c r="GY12" i="6"/>
  <c r="GB12" i="6"/>
  <c r="GP12" i="6" s="1"/>
  <c r="GY18" i="6"/>
  <c r="GB18" i="6"/>
  <c r="GP18" i="6" s="1"/>
  <c r="GY10" i="6"/>
  <c r="GB10" i="6"/>
  <c r="GP10" i="6" s="1"/>
  <c r="GY9" i="6"/>
  <c r="GB9" i="6"/>
  <c r="GP9" i="6" s="1"/>
  <c r="IR24" i="6"/>
  <c r="IX24" i="6" s="1"/>
  <c r="HC24" i="6"/>
  <c r="IR23" i="6"/>
  <c r="IX23" i="6" s="1"/>
  <c r="HC23" i="6"/>
  <c r="GY19" i="6"/>
  <c r="GB19" i="6"/>
  <c r="GP19" i="6" s="1"/>
  <c r="GY20" i="6"/>
  <c r="GB20" i="6"/>
  <c r="GP20" i="6" s="1"/>
  <c r="GY21" i="6"/>
  <c r="GB21" i="6"/>
  <c r="GP21" i="6" s="1"/>
  <c r="GY13" i="6"/>
  <c r="GB13" i="6"/>
  <c r="GP13" i="6" s="1"/>
  <c r="GB26" i="6"/>
  <c r="GP26" i="6" s="1"/>
  <c r="GY26" i="6"/>
  <c r="GY17" i="6"/>
  <c r="GB17" i="6"/>
  <c r="GP17" i="6" s="1"/>
  <c r="GY14" i="6"/>
  <c r="GB14" i="6"/>
  <c r="GP14" i="6" s="1"/>
  <c r="GY15" i="6"/>
  <c r="GB15" i="6"/>
  <c r="GP15" i="6" s="1"/>
  <c r="GY11" i="6"/>
  <c r="GB11" i="6"/>
  <c r="GP11" i="6" s="1"/>
  <c r="IR8" i="6"/>
  <c r="IX8" i="6" s="1"/>
  <c r="HI5" i="6"/>
  <c r="HC8" i="6"/>
  <c r="IR27" i="6"/>
  <c r="IX27" i="6" s="1"/>
  <c r="HC27" i="6"/>
  <c r="EW5" i="6"/>
  <c r="EX5" i="6"/>
  <c r="GN5" i="6" s="1"/>
  <c r="FY5" i="6"/>
  <c r="GA25" i="6"/>
  <c r="GA16" i="6"/>
  <c r="GA22" i="6"/>
  <c r="GA6" i="6"/>
  <c r="GA7" i="6"/>
  <c r="EX28" i="6"/>
  <c r="EW4" i="6"/>
  <c r="HC27" i="4"/>
  <c r="IR27" i="4"/>
  <c r="IX27" i="4" s="1"/>
  <c r="HC23" i="4"/>
  <c r="IR23" i="4"/>
  <c r="IX23" i="4" s="1"/>
  <c r="HC24" i="4"/>
  <c r="IR24" i="4"/>
  <c r="IX24" i="4" s="1"/>
  <c r="GB25" i="4"/>
  <c r="GP25" i="4" s="1"/>
  <c r="GY25" i="4"/>
  <c r="GB22" i="4"/>
  <c r="GP22" i="4" s="1"/>
  <c r="GY22" i="4"/>
  <c r="GB19" i="4"/>
  <c r="GP19" i="4" s="1"/>
  <c r="GY19" i="4"/>
  <c r="GB17" i="4"/>
  <c r="GP17" i="4" s="1"/>
  <c r="GY17" i="4"/>
  <c r="GB16" i="4"/>
  <c r="GP16" i="4" s="1"/>
  <c r="GY16" i="4"/>
  <c r="GB12" i="4"/>
  <c r="GP12" i="4" s="1"/>
  <c r="GY12" i="4"/>
  <c r="GB6" i="4"/>
  <c r="GP6" i="4" s="1"/>
  <c r="GY6" i="4"/>
  <c r="GB9" i="4"/>
  <c r="GP9" i="4" s="1"/>
  <c r="GY9" i="4"/>
  <c r="GB21" i="4"/>
  <c r="GP21" i="4" s="1"/>
  <c r="GY21" i="4"/>
  <c r="GB18" i="4"/>
  <c r="GP18" i="4" s="1"/>
  <c r="GY18" i="4"/>
  <c r="GB11" i="4"/>
  <c r="GP11" i="4" s="1"/>
  <c r="GY11" i="4"/>
  <c r="GB10" i="4"/>
  <c r="GP10" i="4" s="1"/>
  <c r="GY10" i="4"/>
  <c r="GB5" i="4"/>
  <c r="GP5" i="4" s="1"/>
  <c r="GY5" i="4"/>
  <c r="EX4" i="4"/>
  <c r="GN4" i="4" s="1"/>
  <c r="FY4" i="4"/>
  <c r="EV28" i="4"/>
  <c r="EW4" i="4" s="1"/>
  <c r="GY7" i="4"/>
  <c r="GB7" i="4"/>
  <c r="GP7" i="4" s="1"/>
  <c r="HC8" i="4"/>
  <c r="IR8" i="4"/>
  <c r="IX8" i="4" s="1"/>
  <c r="HI5" i="4"/>
  <c r="GB26" i="4"/>
  <c r="GP26" i="4" s="1"/>
  <c r="GY26" i="4"/>
  <c r="GB14" i="4"/>
  <c r="GP14" i="4" s="1"/>
  <c r="GY14" i="4"/>
  <c r="GB15" i="4"/>
  <c r="GP15" i="4" s="1"/>
  <c r="GY15" i="4"/>
  <c r="GA13" i="4"/>
  <c r="GA20" i="4"/>
  <c r="FX27" i="2"/>
  <c r="EA27" i="2"/>
  <c r="GM27" i="2" s="1"/>
  <c r="EU17" i="2"/>
  <c r="EU8" i="2"/>
  <c r="EU9" i="2"/>
  <c r="EU18" i="2"/>
  <c r="EU26" i="2"/>
  <c r="EU21" i="2"/>
  <c r="EU7" i="2"/>
  <c r="EU10" i="2"/>
  <c r="EU15" i="2"/>
  <c r="EU25" i="2"/>
  <c r="EU22" i="2"/>
  <c r="EU23" i="2"/>
  <c r="EU14" i="2"/>
  <c r="EU6" i="2"/>
  <c r="EU20" i="2"/>
  <c r="EU24" i="2"/>
  <c r="EU11" i="2"/>
  <c r="EU19" i="2"/>
  <c r="EU12" i="2"/>
  <c r="FX8" i="2"/>
  <c r="EA8" i="2"/>
  <c r="GM8" i="2" s="1"/>
  <c r="EU27" i="2"/>
  <c r="EU16" i="2"/>
  <c r="EU4" i="2"/>
  <c r="EU5" i="2"/>
  <c r="EU13" i="2"/>
  <c r="EA16" i="2"/>
  <c r="GM16" i="2" s="1"/>
  <c r="FX16" i="2"/>
  <c r="FX15" i="2"/>
  <c r="EA15" i="2"/>
  <c r="GM15" i="2" s="1"/>
  <c r="EA5" i="2"/>
  <c r="GM5" i="2" s="1"/>
  <c r="FX5" i="2"/>
  <c r="AZ11" i="2"/>
  <c r="GI11" i="2" s="1"/>
  <c r="FT11" i="2"/>
  <c r="EA19" i="2"/>
  <c r="GM19" i="2" s="1"/>
  <c r="FX19" i="2"/>
  <c r="EA22" i="2"/>
  <c r="GM22" i="2" s="1"/>
  <c r="FX22" i="2"/>
  <c r="EA14" i="2"/>
  <c r="GM14" i="2" s="1"/>
  <c r="FX14" i="2"/>
  <c r="EA24" i="2"/>
  <c r="GM24" i="2" s="1"/>
  <c r="FX24" i="2"/>
  <c r="EA10" i="2"/>
  <c r="GM10" i="2" s="1"/>
  <c r="FX10" i="2"/>
  <c r="EA11" i="2"/>
  <c r="GM11" i="2" s="1"/>
  <c r="FX11" i="2"/>
  <c r="EA18" i="2"/>
  <c r="GM18" i="2" s="1"/>
  <c r="FX18" i="2"/>
  <c r="EA20" i="2"/>
  <c r="GM20" i="2" s="1"/>
  <c r="FX20" i="2"/>
  <c r="CQ25" i="2"/>
  <c r="GK25" i="2" s="1"/>
  <c r="FV25" i="2"/>
  <c r="EA4" i="2"/>
  <c r="GM4" i="2" s="1"/>
  <c r="FX4" i="2"/>
  <c r="EA6" i="2"/>
  <c r="GM6" i="2" s="1"/>
  <c r="FX6" i="2"/>
  <c r="EA25" i="2"/>
  <c r="GM25" i="2" s="1"/>
  <c r="FX25" i="2"/>
  <c r="EA7" i="2"/>
  <c r="GM7" i="2" s="1"/>
  <c r="FX7" i="2"/>
  <c r="FX17" i="2"/>
  <c r="EA17" i="2"/>
  <c r="GM17" i="2" s="1"/>
  <c r="EA21" i="2"/>
  <c r="GM21" i="2" s="1"/>
  <c r="FX21" i="2"/>
  <c r="EA12" i="2"/>
  <c r="GM12" i="2" s="1"/>
  <c r="FX12" i="2"/>
  <c r="FX9" i="2"/>
  <c r="EA9" i="2"/>
  <c r="GM9" i="2" s="1"/>
  <c r="EA26" i="2"/>
  <c r="GM26" i="2" s="1"/>
  <c r="FX26" i="2"/>
  <c r="FX13" i="2"/>
  <c r="EA13" i="2"/>
  <c r="GM13" i="2" s="1"/>
  <c r="MF23" i="1"/>
  <c r="MG21" i="1"/>
  <c r="AZ22" i="2"/>
  <c r="GI22" i="2" s="1"/>
  <c r="FT22" i="2"/>
  <c r="FT25" i="2"/>
  <c r="AZ25" i="2"/>
  <c r="GI25" i="2" s="1"/>
  <c r="FT12" i="2"/>
  <c r="AZ12" i="2"/>
  <c r="GI12" i="2" s="1"/>
  <c r="AZ17" i="2"/>
  <c r="GI17" i="2" s="1"/>
  <c r="FT17" i="2"/>
  <c r="FT5" i="2"/>
  <c r="AZ5" i="2"/>
  <c r="GI5" i="2" s="1"/>
  <c r="FV11" i="2"/>
  <c r="CQ11" i="2"/>
  <c r="GK11" i="2" s="1"/>
  <c r="FT21" i="2"/>
  <c r="AZ21" i="2"/>
  <c r="GI21" i="2" s="1"/>
  <c r="FT26" i="2"/>
  <c r="AZ26" i="2"/>
  <c r="GI26" i="2" s="1"/>
  <c r="FT16" i="2"/>
  <c r="AZ16" i="2"/>
  <c r="GI16" i="2" s="1"/>
  <c r="AZ20" i="2"/>
  <c r="GI20" i="2" s="1"/>
  <c r="FT20" i="2"/>
  <c r="FT18" i="2"/>
  <c r="AZ18" i="2"/>
  <c r="GI18" i="2" s="1"/>
  <c r="FT13" i="2"/>
  <c r="AZ13" i="2"/>
  <c r="GI13" i="2" s="1"/>
  <c r="FT19" i="2"/>
  <c r="AZ19" i="2"/>
  <c r="GI19" i="2" s="1"/>
  <c r="FT14" i="2"/>
  <c r="AZ14" i="2"/>
  <c r="GI14" i="2" s="1"/>
  <c r="AZ7" i="2"/>
  <c r="GI7" i="2" s="1"/>
  <c r="FT7" i="2"/>
  <c r="FT15" i="2"/>
  <c r="AZ15" i="2"/>
  <c r="GI15" i="2" s="1"/>
  <c r="FT10" i="2"/>
  <c r="AZ10" i="2"/>
  <c r="GI10" i="2" s="1"/>
  <c r="AX4" i="2"/>
  <c r="AW28" i="2"/>
  <c r="AZ8" i="2"/>
  <c r="GI8" i="2" s="1"/>
  <c r="FT8" i="2"/>
  <c r="AZ6" i="2"/>
  <c r="GI6" i="2" s="1"/>
  <c r="FT6" i="2"/>
  <c r="FV19" i="2"/>
  <c r="CQ19" i="2"/>
  <c r="GK19" i="2" s="1"/>
  <c r="N12" i="1"/>
  <c r="P10" i="1"/>
  <c r="Q10" i="1"/>
  <c r="O10" i="1"/>
  <c r="R10" i="1" s="1"/>
  <c r="MC10" i="1"/>
  <c r="MC25" i="1" s="1"/>
  <c r="MC28" i="1" s="1"/>
  <c r="MN31" i="1"/>
  <c r="MO31" i="1" s="1"/>
  <c r="MP31" i="1" s="1"/>
  <c r="LQ26" i="1"/>
  <c r="LK28" i="1"/>
  <c r="X18" i="1"/>
  <c r="Y18" i="1"/>
  <c r="Z18" i="1"/>
  <c r="FV7" i="2"/>
  <c r="CQ7" i="2"/>
  <c r="GK7" i="2" s="1"/>
  <c r="CQ10" i="2"/>
  <c r="GK10" i="2" s="1"/>
  <c r="FV10" i="2"/>
  <c r="MN23" i="1"/>
  <c r="MO23" i="1" s="1"/>
  <c r="MP23" i="1" s="1"/>
  <c r="MC24" i="1"/>
  <c r="MN24" i="1" s="1"/>
  <c r="MO24" i="1" s="1"/>
  <c r="MP24" i="1" s="1"/>
  <c r="C11" i="2"/>
  <c r="FD4" i="2" s="1"/>
  <c r="MD23" i="1"/>
  <c r="CQ15" i="2"/>
  <c r="GK15" i="2" s="1"/>
  <c r="CQ4" i="2"/>
  <c r="GK4" i="2" s="1"/>
  <c r="CQ9" i="2"/>
  <c r="GK9" i="2" s="1"/>
  <c r="FV5" i="2"/>
  <c r="CQ22" i="2"/>
  <c r="GK22" i="2" s="1"/>
  <c r="FV26" i="2"/>
  <c r="CQ21" i="2"/>
  <c r="GK21" i="2" s="1"/>
  <c r="CQ16" i="2"/>
  <c r="GK16" i="2" s="1"/>
  <c r="FV6" i="2"/>
  <c r="CQ6" i="2"/>
  <c r="GK6" i="2" s="1"/>
  <c r="CO28" i="2"/>
  <c r="CP6" i="2" s="1"/>
  <c r="DB6" i="2"/>
  <c r="DA6" i="2"/>
  <c r="CZ6" i="2"/>
  <c r="FV12" i="2"/>
  <c r="CQ12" i="2"/>
  <c r="GK12" i="2" s="1"/>
  <c r="FV23" i="2"/>
  <c r="CQ23" i="2"/>
  <c r="GK23" i="2" s="1"/>
  <c r="DB5" i="2"/>
  <c r="CZ5" i="2"/>
  <c r="DA5" i="2"/>
  <c r="FV17" i="2"/>
  <c r="CQ17" i="2"/>
  <c r="GK17" i="2" s="1"/>
  <c r="CQ13" i="2"/>
  <c r="GK13" i="2" s="1"/>
  <c r="FV13" i="2"/>
  <c r="FV14" i="2"/>
  <c r="CQ14" i="2"/>
  <c r="GK14" i="2" s="1"/>
  <c r="FV20" i="2"/>
  <c r="CQ20" i="2"/>
  <c r="GK20" i="2" s="1"/>
  <c r="FV8" i="2"/>
  <c r="FV24" i="2"/>
  <c r="CQ24" i="2"/>
  <c r="GK24" i="2" s="1"/>
  <c r="FV27" i="2"/>
  <c r="CQ27" i="2"/>
  <c r="GK27" i="2" s="1"/>
  <c r="FV18" i="2"/>
  <c r="CQ18" i="2"/>
  <c r="GK18" i="2" s="1"/>
  <c r="IT5" i="10" l="1"/>
  <c r="JB5" i="10" s="1"/>
  <c r="HT5" i="10"/>
  <c r="HB5" i="10"/>
  <c r="HC5" i="10" s="1"/>
  <c r="IZ5" i="10"/>
  <c r="JA5" i="10"/>
  <c r="JJ5" i="10"/>
  <c r="GY4" i="10"/>
  <c r="GB4" i="10"/>
  <c r="GP4" i="10" s="1"/>
  <c r="GA28" i="10"/>
  <c r="GN28" i="10"/>
  <c r="IT11" i="10"/>
  <c r="JB11" i="10" s="1"/>
  <c r="HT11" i="10"/>
  <c r="HB11" i="10"/>
  <c r="HC11" i="10" s="1"/>
  <c r="IZ11" i="10"/>
  <c r="JA11" i="10"/>
  <c r="JJ11" i="10"/>
  <c r="IT9" i="10"/>
  <c r="JB9" i="10" s="1"/>
  <c r="HT9" i="10"/>
  <c r="HB9" i="10"/>
  <c r="HC9" i="10" s="1"/>
  <c r="IZ9" i="10"/>
  <c r="JA9" i="10"/>
  <c r="JJ9" i="10"/>
  <c r="IT10" i="10"/>
  <c r="JB10" i="10" s="1"/>
  <c r="HT10" i="10"/>
  <c r="HB10" i="10"/>
  <c r="HC10" i="10" s="1"/>
  <c r="IZ10" i="10"/>
  <c r="JA10" i="10"/>
  <c r="JJ10" i="10"/>
  <c r="IT25" i="10"/>
  <c r="JB25" i="10" s="1"/>
  <c r="HT25" i="10"/>
  <c r="HB25" i="10"/>
  <c r="HC25" i="10" s="1"/>
  <c r="IZ25" i="10"/>
  <c r="JA25" i="10" s="1"/>
  <c r="JJ25" i="10"/>
  <c r="HA13" i="10"/>
  <c r="IR13" i="10"/>
  <c r="IX13" i="10" s="1"/>
  <c r="IY13" i="10" s="1"/>
  <c r="HA14" i="10"/>
  <c r="IR14" i="10"/>
  <c r="IX14" i="10" s="1"/>
  <c r="IY14" i="10" s="1"/>
  <c r="HA7" i="10"/>
  <c r="IR7" i="10"/>
  <c r="IX7" i="10" s="1"/>
  <c r="IY7" i="10" s="1"/>
  <c r="HA6" i="10"/>
  <c r="IR6" i="10"/>
  <c r="IX6" i="10" s="1"/>
  <c r="IY6" i="10" s="1"/>
  <c r="HA16" i="10"/>
  <c r="IR16" i="10"/>
  <c r="IX16" i="10" s="1"/>
  <c r="IY16" i="10" s="1"/>
  <c r="HA12" i="10"/>
  <c r="IR12" i="10"/>
  <c r="IX12" i="10" s="1"/>
  <c r="IY12" i="10" s="1"/>
  <c r="HA22" i="10"/>
  <c r="IR22" i="10"/>
  <c r="IX22" i="10" s="1"/>
  <c r="IY22" i="10" s="1"/>
  <c r="HA21" i="10"/>
  <c r="IR21" i="10"/>
  <c r="IX21" i="10" s="1"/>
  <c r="IY21" i="10" s="1"/>
  <c r="HA19" i="10"/>
  <c r="IR19" i="10"/>
  <c r="IX19" i="10" s="1"/>
  <c r="IY19" i="10" s="1"/>
  <c r="HA26" i="10"/>
  <c r="IR26" i="10"/>
  <c r="IX26" i="10" s="1"/>
  <c r="IY26" i="10" s="1"/>
  <c r="HI5" i="10"/>
  <c r="HA15" i="10"/>
  <c r="IR15" i="10"/>
  <c r="IX15" i="10" s="1"/>
  <c r="HA18" i="10"/>
  <c r="IR18" i="10"/>
  <c r="IX18" i="10" s="1"/>
  <c r="IY18" i="10" s="1"/>
  <c r="HA20" i="10"/>
  <c r="IR20" i="10"/>
  <c r="IX20" i="10" s="1"/>
  <c r="IY20" i="10" s="1"/>
  <c r="HA17" i="10"/>
  <c r="IR17" i="10"/>
  <c r="IX17" i="10" s="1"/>
  <c r="EW28" i="10"/>
  <c r="FY27" i="8"/>
  <c r="GA27" i="8" s="1"/>
  <c r="GY27" i="8" s="1"/>
  <c r="FZ9" i="8"/>
  <c r="FM9" i="8"/>
  <c r="GO9" i="8" s="1"/>
  <c r="FY9" i="8"/>
  <c r="GA9" i="8" s="1"/>
  <c r="EX9" i="8"/>
  <c r="GN9" i="8" s="1"/>
  <c r="FY23" i="8"/>
  <c r="GA23" i="8" s="1"/>
  <c r="GY23" i="8" s="1"/>
  <c r="FM13" i="8"/>
  <c r="GO13" i="8" s="1"/>
  <c r="FZ13" i="8"/>
  <c r="EX13" i="8"/>
  <c r="GN13" i="8" s="1"/>
  <c r="FY13" i="8"/>
  <c r="FZ14" i="8"/>
  <c r="FM14" i="8"/>
  <c r="GO14" i="8" s="1"/>
  <c r="FY14" i="8"/>
  <c r="GA14" i="8" s="1"/>
  <c r="EX14" i="8"/>
  <c r="GN14" i="8" s="1"/>
  <c r="FM15" i="8"/>
  <c r="GO15" i="8" s="1"/>
  <c r="FZ15" i="8"/>
  <c r="FY15" i="8"/>
  <c r="GA15" i="8" s="1"/>
  <c r="EX15" i="8"/>
  <c r="GN15" i="8" s="1"/>
  <c r="FZ19" i="8"/>
  <c r="FM19" i="8"/>
  <c r="GO19" i="8" s="1"/>
  <c r="EX19" i="8"/>
  <c r="GN19" i="8" s="1"/>
  <c r="FY19" i="8"/>
  <c r="GA19" i="8" s="1"/>
  <c r="FY8" i="8"/>
  <c r="GA8" i="8" s="1"/>
  <c r="GY8" i="8" s="1"/>
  <c r="FM17" i="8"/>
  <c r="GO17" i="8" s="1"/>
  <c r="FZ17" i="8"/>
  <c r="EX17" i="8"/>
  <c r="GN17" i="8" s="1"/>
  <c r="FY17" i="8"/>
  <c r="GA17" i="8" s="1"/>
  <c r="FZ20" i="8"/>
  <c r="FM20" i="8"/>
  <c r="GO20" i="8" s="1"/>
  <c r="FY20" i="8"/>
  <c r="GA20" i="8" s="1"/>
  <c r="EX20" i="8"/>
  <c r="GN20" i="8" s="1"/>
  <c r="FM21" i="8"/>
  <c r="GO21" i="8" s="1"/>
  <c r="FZ21" i="8"/>
  <c r="FY21" i="8"/>
  <c r="GA21" i="8" s="1"/>
  <c r="EX21" i="8"/>
  <c r="GN21" i="8" s="1"/>
  <c r="FM6" i="8"/>
  <c r="GO6" i="8" s="1"/>
  <c r="FZ6" i="8"/>
  <c r="EX6" i="8"/>
  <c r="GN6" i="8" s="1"/>
  <c r="FY6" i="8"/>
  <c r="FZ7" i="8"/>
  <c r="FM7" i="8"/>
  <c r="GO7" i="8" s="1"/>
  <c r="FY7" i="8"/>
  <c r="GA7" i="8" s="1"/>
  <c r="EX7" i="8"/>
  <c r="GN7" i="8" s="1"/>
  <c r="FM16" i="8"/>
  <c r="GO16" i="8" s="1"/>
  <c r="FZ16" i="8"/>
  <c r="FY16" i="8"/>
  <c r="GA16" i="8" s="1"/>
  <c r="EX16" i="8"/>
  <c r="GN16" i="8" s="1"/>
  <c r="FY24" i="8"/>
  <c r="GA24" i="8" s="1"/>
  <c r="GY24" i="8" s="1"/>
  <c r="FM26" i="8"/>
  <c r="GO26" i="8" s="1"/>
  <c r="FZ26" i="8"/>
  <c r="FY26" i="8"/>
  <c r="GA26" i="8" s="1"/>
  <c r="EX26" i="8"/>
  <c r="GN26" i="8" s="1"/>
  <c r="FZ10" i="8"/>
  <c r="FM10" i="8"/>
  <c r="GO10" i="8" s="1"/>
  <c r="EX10" i="8"/>
  <c r="GN10" i="8" s="1"/>
  <c r="FY10" i="8"/>
  <c r="GA10" i="8" s="1"/>
  <c r="FM11" i="8"/>
  <c r="GO11" i="8" s="1"/>
  <c r="FZ11" i="8"/>
  <c r="EX11" i="8"/>
  <c r="GN11" i="8" s="1"/>
  <c r="FY11" i="8"/>
  <c r="GA11" i="8" s="1"/>
  <c r="FM18" i="8"/>
  <c r="GO18" i="8" s="1"/>
  <c r="FZ18" i="8"/>
  <c r="EX18" i="8"/>
  <c r="GN18" i="8" s="1"/>
  <c r="FY18" i="8"/>
  <c r="GA18" i="8" s="1"/>
  <c r="FZ22" i="8"/>
  <c r="FM22" i="8"/>
  <c r="GO22" i="8" s="1"/>
  <c r="EX22" i="8"/>
  <c r="GN22" i="8" s="1"/>
  <c r="FY22" i="8"/>
  <c r="GA22" i="8" s="1"/>
  <c r="FM25" i="8"/>
  <c r="GO25" i="8" s="1"/>
  <c r="FZ25" i="8"/>
  <c r="EX25" i="8"/>
  <c r="GN25" i="8" s="1"/>
  <c r="FY25" i="8"/>
  <c r="GA25" i="8" s="1"/>
  <c r="EX5" i="8"/>
  <c r="GN5" i="8" s="1"/>
  <c r="FY5" i="8"/>
  <c r="FZ5" i="8"/>
  <c r="FM5" i="8"/>
  <c r="GO5" i="8" s="1"/>
  <c r="FZ4" i="8"/>
  <c r="FZ28" i="8" s="1"/>
  <c r="GO28" i="8" s="1"/>
  <c r="FM4" i="8"/>
  <c r="GO4" i="8" s="1"/>
  <c r="EP28" i="8"/>
  <c r="EQ4" i="8"/>
  <c r="EV4" i="8" s="1"/>
  <c r="FZ12" i="8"/>
  <c r="FM12" i="8"/>
  <c r="GO12" i="8" s="1"/>
  <c r="EX12" i="8"/>
  <c r="GN12" i="8" s="1"/>
  <c r="FY12" i="8"/>
  <c r="GA12" i="8" s="1"/>
  <c r="GB4" i="6"/>
  <c r="GP4" i="6" s="1"/>
  <c r="GY4" i="6"/>
  <c r="HA12" i="6"/>
  <c r="IR12" i="6"/>
  <c r="IX12" i="6" s="1"/>
  <c r="IY12" i="6" s="1"/>
  <c r="HA18" i="6"/>
  <c r="IR18" i="6"/>
  <c r="IX18" i="6" s="1"/>
  <c r="IY18" i="6" s="1"/>
  <c r="HA10" i="6"/>
  <c r="IR10" i="6"/>
  <c r="IX10" i="6" s="1"/>
  <c r="IY10" i="6" s="1"/>
  <c r="HA9" i="6"/>
  <c r="IR9" i="6"/>
  <c r="IX9" i="6" s="1"/>
  <c r="IY9" i="6" s="1"/>
  <c r="HA19" i="6"/>
  <c r="IR19" i="6"/>
  <c r="IX19" i="6" s="1"/>
  <c r="IY19" i="6" s="1"/>
  <c r="HA20" i="6"/>
  <c r="IR20" i="6"/>
  <c r="IX20" i="6" s="1"/>
  <c r="IY20" i="6" s="1"/>
  <c r="HA21" i="6"/>
  <c r="IR21" i="6"/>
  <c r="IX21" i="6" s="1"/>
  <c r="IY21" i="6" s="1"/>
  <c r="HA13" i="6"/>
  <c r="IR13" i="6"/>
  <c r="IX13" i="6" s="1"/>
  <c r="IY13" i="6" s="1"/>
  <c r="HA26" i="6"/>
  <c r="IR26" i="6"/>
  <c r="IX26" i="6" s="1"/>
  <c r="IY26" i="6" s="1"/>
  <c r="HA17" i="6"/>
  <c r="IR17" i="6"/>
  <c r="IX17" i="6" s="1"/>
  <c r="HA14" i="6"/>
  <c r="IR14" i="6"/>
  <c r="IX14" i="6" s="1"/>
  <c r="IY14" i="6" s="1"/>
  <c r="HA15" i="6"/>
  <c r="IR15" i="6"/>
  <c r="IX15" i="6" s="1"/>
  <c r="HA11" i="6"/>
  <c r="IR11" i="6"/>
  <c r="IX11" i="6" s="1"/>
  <c r="IY11" i="6" s="1"/>
  <c r="GB25" i="6"/>
  <c r="GP25" i="6" s="1"/>
  <c r="GY25" i="6"/>
  <c r="GB16" i="6"/>
  <c r="GP16" i="6" s="1"/>
  <c r="GY16" i="6"/>
  <c r="GB22" i="6"/>
  <c r="GP22" i="6" s="1"/>
  <c r="GY22" i="6"/>
  <c r="GY6" i="6"/>
  <c r="GB6" i="6"/>
  <c r="GP6" i="6" s="1"/>
  <c r="GB7" i="6"/>
  <c r="GP7" i="6" s="1"/>
  <c r="GY7" i="6"/>
  <c r="EW28" i="6"/>
  <c r="GA5" i="6"/>
  <c r="FY28" i="6"/>
  <c r="HA25" i="4"/>
  <c r="IR25" i="4"/>
  <c r="IX25" i="4" s="1"/>
  <c r="IY25" i="4" s="1"/>
  <c r="HA22" i="4"/>
  <c r="IR22" i="4"/>
  <c r="IX22" i="4" s="1"/>
  <c r="IY22" i="4" s="1"/>
  <c r="HA19" i="4"/>
  <c r="IR19" i="4"/>
  <c r="IX19" i="4" s="1"/>
  <c r="IY19" i="4" s="1"/>
  <c r="HA17" i="4"/>
  <c r="IR17" i="4"/>
  <c r="IX17" i="4" s="1"/>
  <c r="HA16" i="4"/>
  <c r="IR16" i="4"/>
  <c r="IX16" i="4" s="1"/>
  <c r="IY16" i="4" s="1"/>
  <c r="HA12" i="4"/>
  <c r="IR12" i="4"/>
  <c r="IX12" i="4" s="1"/>
  <c r="IY12" i="4" s="1"/>
  <c r="HA6" i="4"/>
  <c r="IR6" i="4"/>
  <c r="IX6" i="4" s="1"/>
  <c r="IY6" i="4" s="1"/>
  <c r="HA9" i="4"/>
  <c r="IR9" i="4"/>
  <c r="IX9" i="4" s="1"/>
  <c r="IY9" i="4" s="1"/>
  <c r="HA21" i="4"/>
  <c r="IR21" i="4"/>
  <c r="IX21" i="4" s="1"/>
  <c r="IY21" i="4" s="1"/>
  <c r="HA18" i="4"/>
  <c r="IR18" i="4"/>
  <c r="IX18" i="4" s="1"/>
  <c r="IY18" i="4" s="1"/>
  <c r="HA11" i="4"/>
  <c r="IR11" i="4"/>
  <c r="IX11" i="4" s="1"/>
  <c r="IY11" i="4" s="1"/>
  <c r="HA10" i="4"/>
  <c r="IR10" i="4"/>
  <c r="IX10" i="4" s="1"/>
  <c r="IY10" i="4" s="1"/>
  <c r="HA5" i="4"/>
  <c r="IR5" i="4"/>
  <c r="IX5" i="4" s="1"/>
  <c r="IY5" i="4" s="1"/>
  <c r="GA4" i="4"/>
  <c r="FY28" i="4"/>
  <c r="EW11" i="4"/>
  <c r="EW5" i="4"/>
  <c r="EW18" i="4"/>
  <c r="EW9" i="4"/>
  <c r="EW6" i="4"/>
  <c r="EW12" i="4"/>
  <c r="EW16" i="4"/>
  <c r="EW17" i="4"/>
  <c r="EW19" i="4"/>
  <c r="EW20" i="4"/>
  <c r="EW22" i="4"/>
  <c r="EW25" i="4"/>
  <c r="EW24" i="4"/>
  <c r="EW23" i="4"/>
  <c r="EW27" i="4"/>
  <c r="EW10" i="4"/>
  <c r="EW21" i="4"/>
  <c r="EW13" i="4"/>
  <c r="EW15" i="4"/>
  <c r="EW14" i="4"/>
  <c r="EW26" i="4"/>
  <c r="EW8" i="4"/>
  <c r="EW7" i="4"/>
  <c r="EX28" i="4"/>
  <c r="HA7" i="4"/>
  <c r="IR7" i="4"/>
  <c r="IX7" i="4" s="1"/>
  <c r="IY7" i="4" s="1"/>
  <c r="HA26" i="4"/>
  <c r="IR26" i="4"/>
  <c r="IX26" i="4" s="1"/>
  <c r="IY26" i="4" s="1"/>
  <c r="HA14" i="4"/>
  <c r="IR14" i="4"/>
  <c r="IX14" i="4" s="1"/>
  <c r="IY14" i="4" s="1"/>
  <c r="HA15" i="4"/>
  <c r="IR15" i="4"/>
  <c r="IX15" i="4" s="1"/>
  <c r="GY13" i="4"/>
  <c r="GB13" i="4"/>
  <c r="GP13" i="4" s="1"/>
  <c r="GY20" i="4"/>
  <c r="GB20" i="4"/>
  <c r="GP20" i="4" s="1"/>
  <c r="FX28" i="2"/>
  <c r="GM28" i="2" s="1"/>
  <c r="MG23" i="1"/>
  <c r="MF24" i="1"/>
  <c r="AX28" i="2"/>
  <c r="FT4" i="2"/>
  <c r="AZ4" i="2"/>
  <c r="GI4" i="2" s="1"/>
  <c r="P12" i="1"/>
  <c r="Q12" i="1"/>
  <c r="MC12" i="1"/>
  <c r="O12" i="1"/>
  <c r="R12" i="1" s="1"/>
  <c r="N22" i="1"/>
  <c r="MN10" i="1"/>
  <c r="MO10" i="1" s="1"/>
  <c r="MP10" i="1" s="1"/>
  <c r="MD10" i="1"/>
  <c r="MF10" i="1"/>
  <c r="C12" i="2"/>
  <c r="X22" i="1"/>
  <c r="X20" i="1"/>
  <c r="X19" i="1"/>
  <c r="X23" i="1" s="1"/>
  <c r="AA18" i="1"/>
  <c r="Y22" i="1"/>
  <c r="Y19" i="1"/>
  <c r="Y23" i="1" s="1"/>
  <c r="Y20" i="1"/>
  <c r="Z19" i="1"/>
  <c r="Z23" i="1" s="1"/>
  <c r="Z20" i="1"/>
  <c r="Z22" i="1"/>
  <c r="MN25" i="1"/>
  <c r="MO25" i="1" s="1"/>
  <c r="MP25" i="1" s="1"/>
  <c r="MD25" i="1"/>
  <c r="CP18" i="2"/>
  <c r="CP13" i="2"/>
  <c r="CP8" i="2"/>
  <c r="DJ8" i="2" s="1"/>
  <c r="CP27" i="2"/>
  <c r="CP23" i="2"/>
  <c r="ER23" i="2" s="1"/>
  <c r="ES23" i="2" s="1"/>
  <c r="CP12" i="2"/>
  <c r="ER12" i="2" s="1"/>
  <c r="ES12" i="2" s="1"/>
  <c r="CP20" i="2"/>
  <c r="DJ20" i="2" s="1"/>
  <c r="CP24" i="2"/>
  <c r="DJ24" i="2" s="1"/>
  <c r="CP14" i="2"/>
  <c r="DJ14" i="2" s="1"/>
  <c r="CP17" i="2"/>
  <c r="ER17" i="2" s="1"/>
  <c r="ES17" i="2" s="1"/>
  <c r="FV28" i="2"/>
  <c r="GK28" i="2" s="1"/>
  <c r="MC30" i="1"/>
  <c r="MD28" i="1"/>
  <c r="FT28" i="2"/>
  <c r="AY28" i="2"/>
  <c r="AZ28" i="2"/>
  <c r="AY7" i="2"/>
  <c r="BN7" i="2" s="1"/>
  <c r="BO7" i="2" s="1"/>
  <c r="BR7" i="2" s="1"/>
  <c r="AY9" i="2"/>
  <c r="BN9" i="2" s="1"/>
  <c r="BO9" i="2" s="1"/>
  <c r="BR9" i="2" s="1"/>
  <c r="AY6" i="2"/>
  <c r="BN6" i="2" s="1"/>
  <c r="BO6" i="2" s="1"/>
  <c r="BR6" i="2" s="1"/>
  <c r="ER6" i="2"/>
  <c r="ES6" i="2" s="1"/>
  <c r="DJ6" i="2"/>
  <c r="E13" i="2"/>
  <c r="CQ28" i="2"/>
  <c r="CP25" i="2"/>
  <c r="CP11" i="2"/>
  <c r="CP26" i="2"/>
  <c r="CP4" i="2"/>
  <c r="CP10" i="2"/>
  <c r="CP9" i="2"/>
  <c r="CP7" i="2"/>
  <c r="CP21" i="2"/>
  <c r="CP15" i="2"/>
  <c r="CP5" i="2"/>
  <c r="CP22" i="2"/>
  <c r="CP19" i="2"/>
  <c r="CP16" i="2"/>
  <c r="HV5" i="10" l="1"/>
  <c r="HW5" i="10"/>
  <c r="JY5" i="10"/>
  <c r="JL5" i="10"/>
  <c r="JM5" i="10"/>
  <c r="JT5" i="10"/>
  <c r="JW5" i="10" s="1"/>
  <c r="HA4" i="10"/>
  <c r="IR4" i="10"/>
  <c r="HI4" i="10"/>
  <c r="GY28" i="10"/>
  <c r="HA28" i="10" s="1"/>
  <c r="GP28" i="10"/>
  <c r="GA29" i="10"/>
  <c r="HV11" i="10"/>
  <c r="HW11" i="10"/>
  <c r="JY11" i="10"/>
  <c r="JL11" i="10"/>
  <c r="JM11" i="10"/>
  <c r="JT11" i="10"/>
  <c r="JW11" i="10" s="1"/>
  <c r="HV9" i="10"/>
  <c r="HW9" i="10"/>
  <c r="JY9" i="10"/>
  <c r="JL9" i="10"/>
  <c r="JM9" i="10"/>
  <c r="JT9" i="10"/>
  <c r="JW9" i="10" s="1"/>
  <c r="HV10" i="10"/>
  <c r="HW10" i="10"/>
  <c r="JY10" i="10"/>
  <c r="JL10" i="10"/>
  <c r="JM10" i="10"/>
  <c r="JT10" i="10"/>
  <c r="JW10" i="10" s="1"/>
  <c r="HW25" i="10"/>
  <c r="HV25" i="10"/>
  <c r="JY25" i="10"/>
  <c r="JM25" i="10"/>
  <c r="JL25" i="10"/>
  <c r="JT25" i="10"/>
  <c r="JW25" i="10" s="1"/>
  <c r="IT13" i="10"/>
  <c r="JB13" i="10" s="1"/>
  <c r="HT13" i="10"/>
  <c r="HB13" i="10"/>
  <c r="HC13" i="10" s="1"/>
  <c r="IZ13" i="10"/>
  <c r="JA13" i="10"/>
  <c r="JJ13" i="10"/>
  <c r="IT14" i="10"/>
  <c r="JB14" i="10" s="1"/>
  <c r="HT14" i="10"/>
  <c r="HB14" i="10"/>
  <c r="HC14" i="10" s="1"/>
  <c r="IZ14" i="10"/>
  <c r="JA14" i="10"/>
  <c r="JJ14" i="10"/>
  <c r="IT7" i="10"/>
  <c r="JB7" i="10" s="1"/>
  <c r="HT7" i="10"/>
  <c r="HB7" i="10"/>
  <c r="HC7" i="10" s="1"/>
  <c r="IZ7" i="10"/>
  <c r="JA7" i="10"/>
  <c r="JJ7" i="10"/>
  <c r="IT6" i="10"/>
  <c r="JB6" i="10" s="1"/>
  <c r="HT6" i="10"/>
  <c r="HB6" i="10"/>
  <c r="HC6" i="10" s="1"/>
  <c r="IZ6" i="10"/>
  <c r="JA6" i="10"/>
  <c r="JJ6" i="10"/>
  <c r="IT16" i="10"/>
  <c r="JB16" i="10" s="1"/>
  <c r="HT16" i="10"/>
  <c r="HB16" i="10"/>
  <c r="HC16" i="10" s="1"/>
  <c r="IZ16" i="10"/>
  <c r="JA16" i="10"/>
  <c r="JJ16" i="10"/>
  <c r="IT12" i="10"/>
  <c r="JB12" i="10" s="1"/>
  <c r="HT12" i="10"/>
  <c r="HB12" i="10"/>
  <c r="HC12" i="10" s="1"/>
  <c r="IZ12" i="10"/>
  <c r="JA12" i="10"/>
  <c r="JJ12" i="10"/>
  <c r="IT22" i="10"/>
  <c r="JB22" i="10" s="1"/>
  <c r="HT22" i="10"/>
  <c r="HB22" i="10"/>
  <c r="HC22" i="10" s="1"/>
  <c r="IZ22" i="10"/>
  <c r="JA22" i="10"/>
  <c r="JJ22" i="10"/>
  <c r="IT21" i="10"/>
  <c r="JB21" i="10" s="1"/>
  <c r="HT21" i="10"/>
  <c r="HB21" i="10"/>
  <c r="HC21" i="10" s="1"/>
  <c r="IZ21" i="10"/>
  <c r="JA21" i="10"/>
  <c r="JJ21" i="10"/>
  <c r="IT19" i="10"/>
  <c r="JB19" i="10" s="1"/>
  <c r="HT19" i="10"/>
  <c r="HB19" i="10"/>
  <c r="HC19" i="10" s="1"/>
  <c r="JJ19" i="10"/>
  <c r="IZ19" i="10"/>
  <c r="JA19" i="10" s="1"/>
  <c r="HT26" i="10"/>
  <c r="HB26" i="10"/>
  <c r="HC26" i="10" s="1"/>
  <c r="IT26" i="10"/>
  <c r="JB26" i="10" s="1"/>
  <c r="JJ26" i="10"/>
  <c r="IZ26" i="10"/>
  <c r="JA26" i="10" s="1"/>
  <c r="IT15" i="10"/>
  <c r="HT15" i="10"/>
  <c r="HB15" i="10"/>
  <c r="HT18" i="10"/>
  <c r="HB18" i="10"/>
  <c r="HC18" i="10" s="1"/>
  <c r="IT18" i="10"/>
  <c r="JB18" i="10" s="1"/>
  <c r="JJ18" i="10"/>
  <c r="IZ18" i="10"/>
  <c r="JA18" i="10" s="1"/>
  <c r="IT20" i="10"/>
  <c r="JB20" i="10" s="1"/>
  <c r="HT20" i="10"/>
  <c r="HB20" i="10"/>
  <c r="HC20" i="10" s="1"/>
  <c r="IZ20" i="10"/>
  <c r="JA20" i="10"/>
  <c r="JJ20" i="10"/>
  <c r="IT17" i="10"/>
  <c r="HT17" i="10"/>
  <c r="HB17" i="10"/>
  <c r="HC17" i="10" s="1"/>
  <c r="HC27" i="8"/>
  <c r="IR27" i="8"/>
  <c r="IX27" i="8" s="1"/>
  <c r="GY9" i="8"/>
  <c r="GB9" i="8"/>
  <c r="GP9" i="8" s="1"/>
  <c r="HC23" i="8"/>
  <c r="IR23" i="8"/>
  <c r="IX23" i="8" s="1"/>
  <c r="GY14" i="8"/>
  <c r="GB14" i="8"/>
  <c r="GP14" i="8" s="1"/>
  <c r="GY15" i="8"/>
  <c r="GB15" i="8"/>
  <c r="GP15" i="8" s="1"/>
  <c r="GY19" i="8"/>
  <c r="GB19" i="8"/>
  <c r="GP19" i="8" s="1"/>
  <c r="HC8" i="8"/>
  <c r="IR8" i="8"/>
  <c r="IX8" i="8" s="1"/>
  <c r="HI5" i="8"/>
  <c r="GY17" i="8"/>
  <c r="GB17" i="8"/>
  <c r="GP17" i="8" s="1"/>
  <c r="GY20" i="8"/>
  <c r="GB20" i="8"/>
  <c r="GP20" i="8" s="1"/>
  <c r="GY21" i="8"/>
  <c r="GB21" i="8"/>
  <c r="GP21" i="8" s="1"/>
  <c r="GY7" i="8"/>
  <c r="GB7" i="8"/>
  <c r="GP7" i="8" s="1"/>
  <c r="GY16" i="8"/>
  <c r="GB16" i="8"/>
  <c r="GP16" i="8" s="1"/>
  <c r="HC24" i="8"/>
  <c r="IR24" i="8"/>
  <c r="IX24" i="8" s="1"/>
  <c r="GY26" i="8"/>
  <c r="GB26" i="8"/>
  <c r="GP26" i="8" s="1"/>
  <c r="GY10" i="8"/>
  <c r="GB10" i="8"/>
  <c r="GP10" i="8" s="1"/>
  <c r="GY11" i="8"/>
  <c r="GB11" i="8"/>
  <c r="GP11" i="8" s="1"/>
  <c r="GY18" i="8"/>
  <c r="GB18" i="8"/>
  <c r="GP18" i="8" s="1"/>
  <c r="GY22" i="8"/>
  <c r="GB22" i="8"/>
  <c r="GP22" i="8" s="1"/>
  <c r="GY25" i="8"/>
  <c r="GB25" i="8"/>
  <c r="GP25" i="8" s="1"/>
  <c r="FY4" i="8"/>
  <c r="EX4" i="8"/>
  <c r="GN4" i="8" s="1"/>
  <c r="EV28" i="8"/>
  <c r="EW4" i="8" s="1"/>
  <c r="GY12" i="8"/>
  <c r="GB12" i="8"/>
  <c r="GP12" i="8" s="1"/>
  <c r="GA6" i="8"/>
  <c r="GA5" i="8"/>
  <c r="GA13" i="8"/>
  <c r="GY28" i="6"/>
  <c r="HA28" i="6" s="1"/>
  <c r="IR4" i="6"/>
  <c r="HI4" i="6"/>
  <c r="HA4" i="6"/>
  <c r="HB12" i="6"/>
  <c r="HC12" i="6" s="1"/>
  <c r="HT12" i="6"/>
  <c r="IT12" i="6"/>
  <c r="JB12" i="6" s="1"/>
  <c r="IZ12" i="6"/>
  <c r="JJ12" i="6"/>
  <c r="JA12" i="6"/>
  <c r="HB18" i="6"/>
  <c r="HC18" i="6" s="1"/>
  <c r="HT18" i="6"/>
  <c r="IT18" i="6"/>
  <c r="JB18" i="6" s="1"/>
  <c r="JJ18" i="6"/>
  <c r="JA18" i="6"/>
  <c r="IZ18" i="6"/>
  <c r="HB10" i="6"/>
  <c r="HC10" i="6" s="1"/>
  <c r="HT10" i="6"/>
  <c r="IT10" i="6"/>
  <c r="JB10" i="6" s="1"/>
  <c r="JJ10" i="6"/>
  <c r="IZ10" i="6"/>
  <c r="JA10" i="6" s="1"/>
  <c r="HB9" i="6"/>
  <c r="HC9" i="6" s="1"/>
  <c r="HT9" i="6"/>
  <c r="IT9" i="6"/>
  <c r="JB9" i="6" s="1"/>
  <c r="JJ9" i="6"/>
  <c r="IZ9" i="6"/>
  <c r="JA9" i="6" s="1"/>
  <c r="HB19" i="6"/>
  <c r="HC19" i="6" s="1"/>
  <c r="HT19" i="6"/>
  <c r="IT19" i="6"/>
  <c r="JB19" i="6" s="1"/>
  <c r="IZ19" i="6"/>
  <c r="JJ19" i="6"/>
  <c r="JA19" i="6"/>
  <c r="HB20" i="6"/>
  <c r="HC20" i="6" s="1"/>
  <c r="HT20" i="6"/>
  <c r="IT20" i="6"/>
  <c r="JB20" i="6" s="1"/>
  <c r="JJ20" i="6"/>
  <c r="IZ20" i="6"/>
  <c r="JA20" i="6" s="1"/>
  <c r="HB21" i="6"/>
  <c r="HC21" i="6" s="1"/>
  <c r="IT21" i="6"/>
  <c r="JB21" i="6" s="1"/>
  <c r="HT21" i="6"/>
  <c r="IZ21" i="6"/>
  <c r="JJ21" i="6"/>
  <c r="JA21" i="6"/>
  <c r="HB13" i="6"/>
  <c r="HC13" i="6" s="1"/>
  <c r="HT13" i="6"/>
  <c r="IT13" i="6"/>
  <c r="JB13" i="6" s="1"/>
  <c r="JJ13" i="6"/>
  <c r="IZ13" i="6"/>
  <c r="JA13" i="6" s="1"/>
  <c r="IT26" i="6"/>
  <c r="JB26" i="6" s="1"/>
  <c r="HT26" i="6"/>
  <c r="HB26" i="6"/>
  <c r="HC26" i="6" s="1"/>
  <c r="IZ26" i="6"/>
  <c r="JA26" i="6" s="1"/>
  <c r="JJ26" i="6"/>
  <c r="HB17" i="6"/>
  <c r="HC17" i="6" s="1"/>
  <c r="HT17" i="6"/>
  <c r="IT17" i="6"/>
  <c r="HB14" i="6"/>
  <c r="HC14" i="6" s="1"/>
  <c r="HT14" i="6"/>
  <c r="IT14" i="6"/>
  <c r="JB14" i="6" s="1"/>
  <c r="JJ14" i="6"/>
  <c r="IZ14" i="6"/>
  <c r="JA14" i="6" s="1"/>
  <c r="HB15" i="6"/>
  <c r="HT15" i="6"/>
  <c r="IT15" i="6"/>
  <c r="HB11" i="6"/>
  <c r="HC11" i="6" s="1"/>
  <c r="HT11" i="6"/>
  <c r="IT11" i="6"/>
  <c r="JB11" i="6" s="1"/>
  <c r="JJ11" i="6"/>
  <c r="IZ11" i="6"/>
  <c r="JA11" i="6" s="1"/>
  <c r="HA25" i="6"/>
  <c r="IR25" i="6"/>
  <c r="IX25" i="6" s="1"/>
  <c r="IY25" i="6" s="1"/>
  <c r="HA16" i="6"/>
  <c r="IR16" i="6"/>
  <c r="IX16" i="6" s="1"/>
  <c r="IY16" i="6" s="1"/>
  <c r="HA22" i="6"/>
  <c r="IR22" i="6"/>
  <c r="IX22" i="6" s="1"/>
  <c r="IY22" i="6" s="1"/>
  <c r="IR6" i="6"/>
  <c r="IX6" i="6" s="1"/>
  <c r="IY6" i="6" s="1"/>
  <c r="HA6" i="6"/>
  <c r="HA7" i="6"/>
  <c r="IR7" i="6"/>
  <c r="IX7" i="6" s="1"/>
  <c r="IY7" i="6" s="1"/>
  <c r="GB5" i="6"/>
  <c r="GP5" i="6" s="1"/>
  <c r="GY5" i="6"/>
  <c r="GN28" i="6"/>
  <c r="GA28" i="6"/>
  <c r="IT25" i="4"/>
  <c r="JB25" i="4" s="1"/>
  <c r="HT25" i="4"/>
  <c r="HB25" i="4"/>
  <c r="HC25" i="4" s="1"/>
  <c r="IZ25" i="4"/>
  <c r="JA25" i="4"/>
  <c r="JJ25" i="4"/>
  <c r="IT22" i="4"/>
  <c r="JB22" i="4" s="1"/>
  <c r="HT22" i="4"/>
  <c r="HB22" i="4"/>
  <c r="HC22" i="4" s="1"/>
  <c r="IZ22" i="4"/>
  <c r="JA22" i="4"/>
  <c r="JJ22" i="4"/>
  <c r="IT19" i="4"/>
  <c r="JB19" i="4" s="1"/>
  <c r="HT19" i="4"/>
  <c r="HB19" i="4"/>
  <c r="HC19" i="4" s="1"/>
  <c r="IZ19" i="4"/>
  <c r="JA19" i="4"/>
  <c r="JJ19" i="4"/>
  <c r="IT17" i="4"/>
  <c r="HT17" i="4"/>
  <c r="HB17" i="4"/>
  <c r="HC17" i="4" s="1"/>
  <c r="IT16" i="4"/>
  <c r="JB16" i="4" s="1"/>
  <c r="HT16" i="4"/>
  <c r="HB16" i="4"/>
  <c r="HC16" i="4" s="1"/>
  <c r="IZ16" i="4"/>
  <c r="JA16" i="4"/>
  <c r="JJ16" i="4"/>
  <c r="HT12" i="4"/>
  <c r="HB12" i="4"/>
  <c r="HC12" i="4" s="1"/>
  <c r="IT12" i="4"/>
  <c r="JB12" i="4" s="1"/>
  <c r="JJ12" i="4"/>
  <c r="IZ12" i="4"/>
  <c r="JA12" i="4" s="1"/>
  <c r="IT6" i="4"/>
  <c r="JB6" i="4" s="1"/>
  <c r="HT6" i="4"/>
  <c r="HB6" i="4"/>
  <c r="HC6" i="4" s="1"/>
  <c r="IZ6" i="4"/>
  <c r="JA6" i="4" s="1"/>
  <c r="JJ6" i="4"/>
  <c r="IT9" i="4"/>
  <c r="JB9" i="4" s="1"/>
  <c r="HB9" i="4"/>
  <c r="HC9" i="4" s="1"/>
  <c r="HT9" i="4"/>
  <c r="JJ9" i="4"/>
  <c r="IZ9" i="4"/>
  <c r="JA9" i="4" s="1"/>
  <c r="IT21" i="4"/>
  <c r="JB21" i="4" s="1"/>
  <c r="HT21" i="4"/>
  <c r="HB21" i="4"/>
  <c r="HC21" i="4" s="1"/>
  <c r="IZ21" i="4"/>
  <c r="JA21" i="4"/>
  <c r="JJ21" i="4"/>
  <c r="IT18" i="4"/>
  <c r="JB18" i="4" s="1"/>
  <c r="HT18" i="4"/>
  <c r="HB18" i="4"/>
  <c r="HC18" i="4" s="1"/>
  <c r="IZ18" i="4"/>
  <c r="JA18" i="4"/>
  <c r="JJ18" i="4"/>
  <c r="IT11" i="4"/>
  <c r="JB11" i="4" s="1"/>
  <c r="HB11" i="4"/>
  <c r="HC11" i="4" s="1"/>
  <c r="HT11" i="4"/>
  <c r="JJ11" i="4"/>
  <c r="IZ11" i="4"/>
  <c r="JA11" i="4" s="1"/>
  <c r="HT10" i="4"/>
  <c r="HB10" i="4"/>
  <c r="HC10" i="4" s="1"/>
  <c r="IT10" i="4"/>
  <c r="JB10" i="4" s="1"/>
  <c r="IZ10" i="4"/>
  <c r="JA10" i="4" s="1"/>
  <c r="JJ10" i="4"/>
  <c r="IT5" i="4"/>
  <c r="JB5" i="4" s="1"/>
  <c r="HT5" i="4"/>
  <c r="HB5" i="4"/>
  <c r="HC5" i="4" s="1"/>
  <c r="JJ5" i="4"/>
  <c r="IZ5" i="4"/>
  <c r="JA5" i="4" s="1"/>
  <c r="GB4" i="4"/>
  <c r="GP4" i="4" s="1"/>
  <c r="GY4" i="4"/>
  <c r="GA28" i="4"/>
  <c r="GN28" i="4"/>
  <c r="IT7" i="4"/>
  <c r="JB7" i="4" s="1"/>
  <c r="HB7" i="4"/>
  <c r="HC7" i="4" s="1"/>
  <c r="HT7" i="4"/>
  <c r="IZ7" i="4"/>
  <c r="JA7" i="4"/>
  <c r="JJ7" i="4"/>
  <c r="IT26" i="4"/>
  <c r="JB26" i="4" s="1"/>
  <c r="HT26" i="4"/>
  <c r="HB26" i="4"/>
  <c r="HC26" i="4" s="1"/>
  <c r="IZ26" i="4"/>
  <c r="JA26" i="4"/>
  <c r="JJ26" i="4"/>
  <c r="IT14" i="4"/>
  <c r="JB14" i="4" s="1"/>
  <c r="HT14" i="4"/>
  <c r="HB14" i="4"/>
  <c r="HC14" i="4" s="1"/>
  <c r="IZ14" i="4"/>
  <c r="JA14" i="4"/>
  <c r="JJ14" i="4"/>
  <c r="IT15" i="4"/>
  <c r="HT15" i="4"/>
  <c r="HB15" i="4"/>
  <c r="HA13" i="4"/>
  <c r="IR13" i="4"/>
  <c r="IX13" i="4" s="1"/>
  <c r="IY13" i="4" s="1"/>
  <c r="HA20" i="4"/>
  <c r="IR20" i="4"/>
  <c r="IX20" i="4" s="1"/>
  <c r="IY20" i="4" s="1"/>
  <c r="EW28" i="4"/>
  <c r="AY11" i="2"/>
  <c r="BN11" i="2" s="1"/>
  <c r="BO11" i="2" s="1"/>
  <c r="BR11" i="2" s="1"/>
  <c r="AY27" i="2"/>
  <c r="BN27" i="2" s="1"/>
  <c r="BO27" i="2" s="1"/>
  <c r="BR27" i="2" s="1"/>
  <c r="FU27" i="2" s="1"/>
  <c r="AY8" i="2"/>
  <c r="BN8" i="2" s="1"/>
  <c r="BO8" i="2" s="1"/>
  <c r="BR8" i="2" s="1"/>
  <c r="FU8" i="2" s="1"/>
  <c r="AY12" i="2"/>
  <c r="BN12" i="2" s="1"/>
  <c r="BO12" i="2" s="1"/>
  <c r="BR12" i="2" s="1"/>
  <c r="AY23" i="2"/>
  <c r="BN23" i="2" s="1"/>
  <c r="BO23" i="2" s="1"/>
  <c r="BR23" i="2" s="1"/>
  <c r="FU23" i="2" s="1"/>
  <c r="AY20" i="2"/>
  <c r="BN20" i="2" s="1"/>
  <c r="BO20" i="2" s="1"/>
  <c r="BR20" i="2" s="1"/>
  <c r="AY21" i="2"/>
  <c r="BN21" i="2" s="1"/>
  <c r="BO21" i="2" s="1"/>
  <c r="BR21" i="2" s="1"/>
  <c r="AY10" i="2"/>
  <c r="BN10" i="2" s="1"/>
  <c r="BO10" i="2" s="1"/>
  <c r="BR10" i="2" s="1"/>
  <c r="AY17" i="2"/>
  <c r="BN17" i="2" s="1"/>
  <c r="BO17" i="2" s="1"/>
  <c r="BR17" i="2" s="1"/>
  <c r="AY15" i="2"/>
  <c r="BN15" i="2" s="1"/>
  <c r="BO15" i="2" s="1"/>
  <c r="BR15" i="2" s="1"/>
  <c r="AY18" i="2"/>
  <c r="BN18" i="2" s="1"/>
  <c r="BO18" i="2" s="1"/>
  <c r="BR18" i="2" s="1"/>
  <c r="DJ18" i="2"/>
  <c r="ER18" i="2"/>
  <c r="ES18" i="2" s="1"/>
  <c r="ER13" i="2"/>
  <c r="ES13" i="2" s="1"/>
  <c r="DJ13" i="2"/>
  <c r="DJ27" i="2"/>
  <c r="ER27" i="2"/>
  <c r="ES27" i="2" s="1"/>
  <c r="AY14" i="2"/>
  <c r="BN14" i="2" s="1"/>
  <c r="BO14" i="2" s="1"/>
  <c r="BR14" i="2" s="1"/>
  <c r="AY16" i="2"/>
  <c r="BN16" i="2" s="1"/>
  <c r="BO16" i="2" s="1"/>
  <c r="BR16" i="2" s="1"/>
  <c r="MD30" i="1"/>
  <c r="MC32" i="1"/>
  <c r="MN32" i="1" s="1"/>
  <c r="MO32" i="1" s="1"/>
  <c r="AY4" i="2"/>
  <c r="BN4" i="2" s="1"/>
  <c r="BO4" i="2" s="1"/>
  <c r="BR4" i="2" s="1"/>
  <c r="AY24" i="2"/>
  <c r="BN24" i="2" s="1"/>
  <c r="BO24" i="2" s="1"/>
  <c r="BR24" i="2" s="1"/>
  <c r="AY26" i="2"/>
  <c r="BN26" i="2" s="1"/>
  <c r="BO26" i="2" s="1"/>
  <c r="BR26" i="2" s="1"/>
  <c r="AY22" i="2"/>
  <c r="BN22" i="2" s="1"/>
  <c r="BO22" i="2" s="1"/>
  <c r="BR22" i="2" s="1"/>
  <c r="AY25" i="2"/>
  <c r="BN25" i="2" s="1"/>
  <c r="BO25" i="2" s="1"/>
  <c r="BR25" i="2" s="1"/>
  <c r="AY5" i="2"/>
  <c r="BN5" i="2" s="1"/>
  <c r="AY19" i="2"/>
  <c r="BN19" i="2" s="1"/>
  <c r="BO19" i="2" s="1"/>
  <c r="BR19" i="2" s="1"/>
  <c r="AY13" i="2"/>
  <c r="BN13" i="2" s="1"/>
  <c r="BO13" i="2" s="1"/>
  <c r="BR13" i="2" s="1"/>
  <c r="MN12" i="1"/>
  <c r="MO12" i="1" s="1"/>
  <c r="MP12" i="1" s="1"/>
  <c r="MD12" i="1"/>
  <c r="O22" i="1"/>
  <c r="R22" i="1" s="1"/>
  <c r="P22" i="1"/>
  <c r="Q22" i="1"/>
  <c r="MF25" i="1"/>
  <c r="MG10" i="1"/>
  <c r="FD5" i="2"/>
  <c r="FD6" i="2" s="1"/>
  <c r="FL28" i="2" s="1"/>
  <c r="FM28" i="2" s="1"/>
  <c r="C13" i="2"/>
  <c r="AA19" i="1"/>
  <c r="AA23" i="1" s="1"/>
  <c r="AA20" i="1"/>
  <c r="AA22" i="1"/>
  <c r="BS8" i="2"/>
  <c r="GJ8" i="2" s="1"/>
  <c r="MN28" i="1"/>
  <c r="MO28" i="1" s="1"/>
  <c r="MP28" i="1" s="1"/>
  <c r="ER8" i="2"/>
  <c r="ES8" i="2" s="1"/>
  <c r="ER24" i="2"/>
  <c r="ES24" i="2" s="1"/>
  <c r="ER20" i="2"/>
  <c r="ES20" i="2" s="1"/>
  <c r="ER14" i="2"/>
  <c r="ES14" i="2" s="1"/>
  <c r="DJ17" i="2"/>
  <c r="DJ23" i="2"/>
  <c r="DJ12" i="2"/>
  <c r="BS7" i="2"/>
  <c r="GJ7" i="2" s="1"/>
  <c r="FU7" i="2"/>
  <c r="DJ7" i="2"/>
  <c r="ER7" i="2"/>
  <c r="ES7" i="2" s="1"/>
  <c r="GI28" i="2"/>
  <c r="ER9" i="2"/>
  <c r="ES9" i="2" s="1"/>
  <c r="DJ9" i="2"/>
  <c r="MN30" i="1"/>
  <c r="MO30" i="1" s="1"/>
  <c r="MP30" i="1" s="1"/>
  <c r="MF9" i="1"/>
  <c r="DJ10" i="2"/>
  <c r="ER10" i="2"/>
  <c r="ES10" i="2" s="1"/>
  <c r="BS23" i="2"/>
  <c r="GJ23" i="2" s="1"/>
  <c r="CP28" i="2"/>
  <c r="DJ4" i="2"/>
  <c r="ER4" i="2"/>
  <c r="DJ26" i="2"/>
  <c r="ER26" i="2"/>
  <c r="ES26" i="2" s="1"/>
  <c r="DJ22" i="2"/>
  <c r="ER22" i="2"/>
  <c r="ES22" i="2" s="1"/>
  <c r="ER5" i="2"/>
  <c r="ES5" i="2" s="1"/>
  <c r="DJ5" i="2"/>
  <c r="DC7" i="2"/>
  <c r="DB4" i="2"/>
  <c r="DB7" i="2" s="1"/>
  <c r="DO28" i="2" s="1"/>
  <c r="DA4" i="2"/>
  <c r="DA7" i="2" s="1"/>
  <c r="DM28" i="2" s="1"/>
  <c r="CZ4" i="2"/>
  <c r="CZ7" i="2" s="1"/>
  <c r="DJ11" i="2"/>
  <c r="ER11" i="2"/>
  <c r="ES11" i="2" s="1"/>
  <c r="ER19" i="2"/>
  <c r="ES19" i="2" s="1"/>
  <c r="DJ19" i="2"/>
  <c r="FU6" i="2"/>
  <c r="BS6" i="2"/>
  <c r="GJ6" i="2" s="1"/>
  <c r="BS27" i="2"/>
  <c r="GJ27" i="2" s="1"/>
  <c r="DJ16" i="2"/>
  <c r="ER16" i="2"/>
  <c r="ES16" i="2" s="1"/>
  <c r="DJ25" i="2"/>
  <c r="ER25" i="2"/>
  <c r="ES25" i="2" s="1"/>
  <c r="DJ15" i="2"/>
  <c r="ER15" i="2"/>
  <c r="ES15" i="2" s="1"/>
  <c r="ER21" i="2"/>
  <c r="ES21" i="2" s="1"/>
  <c r="DJ21" i="2"/>
  <c r="FU9" i="2"/>
  <c r="BS9" i="2"/>
  <c r="GJ9" i="2" s="1"/>
  <c r="HT4" i="10" l="1"/>
  <c r="IT4" i="10"/>
  <c r="HB4" i="10"/>
  <c r="IR28" i="10"/>
  <c r="IX4" i="10"/>
  <c r="HI6" i="10"/>
  <c r="HV13" i="10"/>
  <c r="HW13" i="10"/>
  <c r="JY13" i="10"/>
  <c r="JL13" i="10"/>
  <c r="JM13" i="10"/>
  <c r="JT13" i="10"/>
  <c r="JW13" i="10" s="1"/>
  <c r="HV14" i="10"/>
  <c r="HW14" i="10"/>
  <c r="JY14" i="10"/>
  <c r="JL14" i="10"/>
  <c r="JM14" i="10"/>
  <c r="JT14" i="10"/>
  <c r="JW14" i="10" s="1"/>
  <c r="HV7" i="10"/>
  <c r="HW7" i="10"/>
  <c r="JY7" i="10"/>
  <c r="JL7" i="10"/>
  <c r="JM7" i="10"/>
  <c r="JT7" i="10"/>
  <c r="JW7" i="10" s="1"/>
  <c r="HV6" i="10"/>
  <c r="HW6" i="10"/>
  <c r="JY6" i="10"/>
  <c r="JL6" i="10"/>
  <c r="JM6" i="10"/>
  <c r="JT6" i="10"/>
  <c r="JW6" i="10" s="1"/>
  <c r="HV16" i="10"/>
  <c r="HW16" i="10"/>
  <c r="JY16" i="10"/>
  <c r="JL16" i="10"/>
  <c r="JM16" i="10"/>
  <c r="JT16" i="10"/>
  <c r="JW16" i="10" s="1"/>
  <c r="HV12" i="10"/>
  <c r="HW12" i="10"/>
  <c r="JY12" i="10"/>
  <c r="JL12" i="10"/>
  <c r="JM12" i="10"/>
  <c r="JT12" i="10"/>
  <c r="JW12" i="10" s="1"/>
  <c r="HV22" i="10"/>
  <c r="HW22" i="10"/>
  <c r="JY22" i="10"/>
  <c r="JL22" i="10"/>
  <c r="JM22" i="10"/>
  <c r="JT22" i="10"/>
  <c r="JW22" i="10" s="1"/>
  <c r="HV21" i="10"/>
  <c r="HW21" i="10"/>
  <c r="JY21" i="10"/>
  <c r="JL21" i="10"/>
  <c r="JM21" i="10"/>
  <c r="JT21" i="10"/>
  <c r="JW21" i="10" s="1"/>
  <c r="HV19" i="10"/>
  <c r="HW19" i="10"/>
  <c r="JY19" i="10"/>
  <c r="JM19" i="10"/>
  <c r="JL19" i="10"/>
  <c r="JT19" i="10"/>
  <c r="JW19" i="10" s="1"/>
  <c r="HW26" i="10"/>
  <c r="HV26" i="10"/>
  <c r="JY26" i="10"/>
  <c r="JM26" i="10"/>
  <c r="JL26" i="10"/>
  <c r="JT26" i="10"/>
  <c r="JW26" i="10" s="1"/>
  <c r="IY15" i="10"/>
  <c r="JB15" i="10"/>
  <c r="HV15" i="10"/>
  <c r="HW15" i="10"/>
  <c r="HK5" i="10"/>
  <c r="HC15" i="10"/>
  <c r="HL5" i="10" s="1"/>
  <c r="HV18" i="10"/>
  <c r="HW18" i="10"/>
  <c r="JY18" i="10"/>
  <c r="JM18" i="10"/>
  <c r="JL18" i="10"/>
  <c r="JT18" i="10"/>
  <c r="JW18" i="10" s="1"/>
  <c r="HV20" i="10"/>
  <c r="HW20" i="10"/>
  <c r="JY20" i="10"/>
  <c r="JL20" i="10"/>
  <c r="JM20" i="10"/>
  <c r="JT20" i="10"/>
  <c r="JW20" i="10" s="1"/>
  <c r="IY17" i="10"/>
  <c r="JB17" i="10"/>
  <c r="HV17" i="10"/>
  <c r="HW17" i="10"/>
  <c r="HA9" i="8"/>
  <c r="IR9" i="8"/>
  <c r="IX9" i="8" s="1"/>
  <c r="IY9" i="8" s="1"/>
  <c r="HA14" i="8"/>
  <c r="IR14" i="8"/>
  <c r="IX14" i="8" s="1"/>
  <c r="IY14" i="8" s="1"/>
  <c r="HA15" i="8"/>
  <c r="IR15" i="8"/>
  <c r="IX15" i="8" s="1"/>
  <c r="HA19" i="8"/>
  <c r="IR19" i="8"/>
  <c r="IX19" i="8" s="1"/>
  <c r="IY19" i="8" s="1"/>
  <c r="HA17" i="8"/>
  <c r="IR17" i="8"/>
  <c r="IX17" i="8" s="1"/>
  <c r="HA20" i="8"/>
  <c r="IR20" i="8"/>
  <c r="IX20" i="8" s="1"/>
  <c r="IY20" i="8" s="1"/>
  <c r="HA21" i="8"/>
  <c r="IR21" i="8"/>
  <c r="IX21" i="8" s="1"/>
  <c r="IY21" i="8" s="1"/>
  <c r="HA7" i="8"/>
  <c r="IR7" i="8"/>
  <c r="IX7" i="8" s="1"/>
  <c r="IY7" i="8" s="1"/>
  <c r="HA16" i="8"/>
  <c r="IR16" i="8"/>
  <c r="IX16" i="8" s="1"/>
  <c r="IY16" i="8" s="1"/>
  <c r="HA26" i="8"/>
  <c r="IR26" i="8"/>
  <c r="IX26" i="8" s="1"/>
  <c r="IY26" i="8" s="1"/>
  <c r="HA10" i="8"/>
  <c r="IR10" i="8"/>
  <c r="IX10" i="8" s="1"/>
  <c r="IY10" i="8" s="1"/>
  <c r="HA11" i="8"/>
  <c r="IR11" i="8"/>
  <c r="IX11" i="8" s="1"/>
  <c r="IY11" i="8" s="1"/>
  <c r="HA18" i="8"/>
  <c r="IR18" i="8"/>
  <c r="IX18" i="8" s="1"/>
  <c r="IY18" i="8" s="1"/>
  <c r="HA22" i="8"/>
  <c r="IR22" i="8"/>
  <c r="IX22" i="8" s="1"/>
  <c r="IY22" i="8" s="1"/>
  <c r="HA25" i="8"/>
  <c r="IR25" i="8"/>
  <c r="IX25" i="8" s="1"/>
  <c r="IY25" i="8" s="1"/>
  <c r="GA4" i="8"/>
  <c r="FY28" i="8"/>
  <c r="EW8" i="8"/>
  <c r="EW14" i="8"/>
  <c r="EW13" i="8"/>
  <c r="EW27" i="8"/>
  <c r="EW15" i="8"/>
  <c r="EW23" i="8"/>
  <c r="EW19" i="8"/>
  <c r="EW9" i="8"/>
  <c r="EW12" i="8"/>
  <c r="EW18" i="8"/>
  <c r="EW11" i="8"/>
  <c r="EW10" i="8"/>
  <c r="EW26" i="8"/>
  <c r="EW25" i="8"/>
  <c r="EW24" i="8"/>
  <c r="EW16" i="8"/>
  <c r="EW7" i="8"/>
  <c r="EW6" i="8"/>
  <c r="EW5" i="8"/>
  <c r="EW22" i="8"/>
  <c r="EW21" i="8"/>
  <c r="EW20" i="8"/>
  <c r="EW17" i="8"/>
  <c r="EX28" i="8"/>
  <c r="HA12" i="8"/>
  <c r="IR12" i="8"/>
  <c r="IX12" i="8" s="1"/>
  <c r="IY12" i="8" s="1"/>
  <c r="GB6" i="8"/>
  <c r="GP6" i="8" s="1"/>
  <c r="GY6" i="8"/>
  <c r="GB5" i="8"/>
  <c r="GP5" i="8" s="1"/>
  <c r="GY5" i="8"/>
  <c r="GB13" i="8"/>
  <c r="GP13" i="8" s="1"/>
  <c r="GY13" i="8"/>
  <c r="IX4" i="6"/>
  <c r="HI6" i="6"/>
  <c r="HJ5" i="6" s="1"/>
  <c r="HJ4" i="6"/>
  <c r="HJ6" i="6" s="1"/>
  <c r="IT4" i="6"/>
  <c r="HT4" i="6"/>
  <c r="HB4" i="6"/>
  <c r="HW12" i="6"/>
  <c r="HV12" i="6"/>
  <c r="JT12" i="6"/>
  <c r="JW12" i="6" s="1"/>
  <c r="JL12" i="6"/>
  <c r="JY12" i="6"/>
  <c r="JM12" i="6"/>
  <c r="HW18" i="6"/>
  <c r="HV18" i="6"/>
  <c r="JY18" i="6"/>
  <c r="JT18" i="6"/>
  <c r="JW18" i="6" s="1"/>
  <c r="JM18" i="6"/>
  <c r="JL18" i="6"/>
  <c r="HW10" i="6"/>
  <c r="HV10" i="6"/>
  <c r="JY10" i="6"/>
  <c r="JT10" i="6"/>
  <c r="JW10" i="6" s="1"/>
  <c r="JM10" i="6"/>
  <c r="JL10" i="6"/>
  <c r="HW9" i="6"/>
  <c r="HV9" i="6"/>
  <c r="JY9" i="6"/>
  <c r="JT9" i="6"/>
  <c r="JW9" i="6" s="1"/>
  <c r="JM9" i="6"/>
  <c r="JL9" i="6"/>
  <c r="HV19" i="6"/>
  <c r="HW19" i="6"/>
  <c r="JY19" i="6"/>
  <c r="JL19" i="6"/>
  <c r="JT19" i="6"/>
  <c r="JW19" i="6" s="1"/>
  <c r="JM19" i="6"/>
  <c r="HW20" i="6"/>
  <c r="HV20" i="6"/>
  <c r="JY20" i="6"/>
  <c r="JT20" i="6"/>
  <c r="JW20" i="6" s="1"/>
  <c r="JM20" i="6"/>
  <c r="JL20" i="6"/>
  <c r="HW21" i="6"/>
  <c r="HV21" i="6"/>
  <c r="JL21" i="6"/>
  <c r="JY21" i="6"/>
  <c r="JT21" i="6"/>
  <c r="JW21" i="6" s="1"/>
  <c r="JM21" i="6"/>
  <c r="HW13" i="6"/>
  <c r="HV13" i="6"/>
  <c r="JY13" i="6"/>
  <c r="JT13" i="6"/>
  <c r="JW13" i="6" s="1"/>
  <c r="JM13" i="6"/>
  <c r="JL13" i="6"/>
  <c r="HV26" i="6"/>
  <c r="HW26" i="6"/>
  <c r="JY26" i="6"/>
  <c r="JL26" i="6"/>
  <c r="JT26" i="6"/>
  <c r="JW26" i="6" s="1"/>
  <c r="JM26" i="6"/>
  <c r="HW17" i="6"/>
  <c r="HV17" i="6"/>
  <c r="IY17" i="6"/>
  <c r="JB17" i="6" s="1"/>
  <c r="HW14" i="6"/>
  <c r="HV14" i="6"/>
  <c r="JY14" i="6"/>
  <c r="JT14" i="6"/>
  <c r="JW14" i="6" s="1"/>
  <c r="JM14" i="6"/>
  <c r="JL14" i="6"/>
  <c r="HK5" i="6"/>
  <c r="HC15" i="6"/>
  <c r="HL5" i="6" s="1"/>
  <c r="HW15" i="6"/>
  <c r="HV15" i="6"/>
  <c r="IY15" i="6"/>
  <c r="JB15" i="6" s="1"/>
  <c r="HW11" i="6"/>
  <c r="HV11" i="6"/>
  <c r="JY11" i="6"/>
  <c r="JT11" i="6"/>
  <c r="JW11" i="6" s="1"/>
  <c r="JM11" i="6"/>
  <c r="JL11" i="6"/>
  <c r="IT25" i="6"/>
  <c r="JB25" i="6" s="1"/>
  <c r="HT25" i="6"/>
  <c r="HB25" i="6"/>
  <c r="HC25" i="6" s="1"/>
  <c r="JJ25" i="6"/>
  <c r="IZ25" i="6"/>
  <c r="JA25" i="6"/>
  <c r="HB16" i="6"/>
  <c r="HC16" i="6" s="1"/>
  <c r="HT16" i="6"/>
  <c r="IT16" i="6"/>
  <c r="JB16" i="6" s="1"/>
  <c r="JJ16" i="6"/>
  <c r="IZ16" i="6"/>
  <c r="JA16" i="6" s="1"/>
  <c r="HT22" i="6"/>
  <c r="IT22" i="6"/>
  <c r="JB22" i="6" s="1"/>
  <c r="HB22" i="6"/>
  <c r="HC22" i="6" s="1"/>
  <c r="IZ22" i="6"/>
  <c r="JA22" i="6" s="1"/>
  <c r="JJ22" i="6"/>
  <c r="JJ6" i="6"/>
  <c r="IZ6" i="6"/>
  <c r="JA6" i="6" s="1"/>
  <c r="IT6" i="6"/>
  <c r="JB6" i="6" s="1"/>
  <c r="HT6" i="6"/>
  <c r="HB6" i="6"/>
  <c r="HC6" i="6" s="1"/>
  <c r="HB7" i="6"/>
  <c r="HC7" i="6" s="1"/>
  <c r="HT7" i="6"/>
  <c r="IT7" i="6"/>
  <c r="JB7" i="6" s="1"/>
  <c r="JJ7" i="6"/>
  <c r="IZ7" i="6"/>
  <c r="JA7" i="6" s="1"/>
  <c r="IR5" i="6"/>
  <c r="HA5" i="6"/>
  <c r="GP28" i="6"/>
  <c r="GA29" i="6"/>
  <c r="HV25" i="4"/>
  <c r="HW25" i="4"/>
  <c r="JY25" i="4"/>
  <c r="JL25" i="4"/>
  <c r="JM25" i="4"/>
  <c r="HV22" i="4"/>
  <c r="HW22" i="4"/>
  <c r="JY22" i="4"/>
  <c r="JL22" i="4"/>
  <c r="JM22" i="4"/>
  <c r="JT22" i="4"/>
  <c r="JW22" i="4" s="1"/>
  <c r="HV19" i="4"/>
  <c r="HW19" i="4"/>
  <c r="JY19" i="4"/>
  <c r="JL19" i="4"/>
  <c r="JM19" i="4"/>
  <c r="JT19" i="4"/>
  <c r="JW19" i="4" s="1"/>
  <c r="IY17" i="4"/>
  <c r="JB17" i="4"/>
  <c r="HV17" i="4"/>
  <c r="HW17" i="4"/>
  <c r="HV16" i="4"/>
  <c r="HW16" i="4"/>
  <c r="JY16" i="4"/>
  <c r="JL16" i="4"/>
  <c r="JM16" i="4"/>
  <c r="JT16" i="4"/>
  <c r="JW16" i="4" s="1"/>
  <c r="HV12" i="4"/>
  <c r="HW12" i="4"/>
  <c r="JY12" i="4"/>
  <c r="JM12" i="4"/>
  <c r="JL12" i="4"/>
  <c r="JT12" i="4"/>
  <c r="JW12" i="4" s="1"/>
  <c r="HV6" i="4"/>
  <c r="HW6" i="4"/>
  <c r="JY6" i="4"/>
  <c r="JT6" i="4"/>
  <c r="JW6" i="4" s="1"/>
  <c r="JM6" i="4"/>
  <c r="JL6" i="4"/>
  <c r="HV9" i="4"/>
  <c r="HW9" i="4"/>
  <c r="JY9" i="4"/>
  <c r="JT9" i="4"/>
  <c r="JW9" i="4" s="1"/>
  <c r="JL9" i="4"/>
  <c r="JM9" i="4"/>
  <c r="HV21" i="4"/>
  <c r="HW21" i="4"/>
  <c r="JY21" i="4"/>
  <c r="JL21" i="4"/>
  <c r="JM21" i="4"/>
  <c r="JT21" i="4"/>
  <c r="JW21" i="4" s="1"/>
  <c r="HV18" i="4"/>
  <c r="HW18" i="4"/>
  <c r="JY18" i="4"/>
  <c r="JL18" i="4"/>
  <c r="JM18" i="4"/>
  <c r="JT18" i="4"/>
  <c r="JW18" i="4" s="1"/>
  <c r="HV11" i="4"/>
  <c r="HW11" i="4"/>
  <c r="JY11" i="4"/>
  <c r="JT11" i="4"/>
  <c r="JW11" i="4" s="1"/>
  <c r="JM11" i="4"/>
  <c r="JL11" i="4"/>
  <c r="HW10" i="4"/>
  <c r="HV10" i="4"/>
  <c r="JY10" i="4"/>
  <c r="JT10" i="4"/>
  <c r="JW10" i="4" s="1"/>
  <c r="JM10" i="4"/>
  <c r="JL10" i="4"/>
  <c r="HW5" i="4"/>
  <c r="HV5" i="4"/>
  <c r="JY5" i="4"/>
  <c r="JM5" i="4"/>
  <c r="JL5" i="4"/>
  <c r="JT5" i="4"/>
  <c r="JW5" i="4" s="1"/>
  <c r="HA4" i="4"/>
  <c r="HI4" i="4"/>
  <c r="IR4" i="4"/>
  <c r="GY28" i="4"/>
  <c r="HA28" i="4" s="1"/>
  <c r="GA29" i="4"/>
  <c r="GP28" i="4"/>
  <c r="HW7" i="4"/>
  <c r="HV7" i="4"/>
  <c r="JY7" i="4"/>
  <c r="JM7" i="4"/>
  <c r="JT7" i="4"/>
  <c r="JW7" i="4" s="1"/>
  <c r="JL7" i="4"/>
  <c r="HV26" i="4"/>
  <c r="HW26" i="4"/>
  <c r="JY26" i="4"/>
  <c r="JL26" i="4"/>
  <c r="JM26" i="4"/>
  <c r="JT26" i="4"/>
  <c r="JW26" i="4" s="1"/>
  <c r="HV14" i="4"/>
  <c r="HW14" i="4"/>
  <c r="JY14" i="4"/>
  <c r="JL14" i="4"/>
  <c r="JM14" i="4"/>
  <c r="JT14" i="4"/>
  <c r="JW14" i="4" s="1"/>
  <c r="IY15" i="4"/>
  <c r="JB15" i="4"/>
  <c r="HV15" i="4"/>
  <c r="HW15" i="4"/>
  <c r="HK5" i="4"/>
  <c r="HC15" i="4"/>
  <c r="HL5" i="4" s="1"/>
  <c r="HT13" i="4"/>
  <c r="HB13" i="4"/>
  <c r="HC13" i="4" s="1"/>
  <c r="IT13" i="4"/>
  <c r="JB13" i="4" s="1"/>
  <c r="IZ13" i="4"/>
  <c r="JA13" i="4"/>
  <c r="JJ13" i="4"/>
  <c r="IT20" i="4"/>
  <c r="JB20" i="4" s="1"/>
  <c r="HT20" i="4"/>
  <c r="HB20" i="4"/>
  <c r="HC20" i="4" s="1"/>
  <c r="IZ20" i="4"/>
  <c r="JA20" i="4"/>
  <c r="JJ20" i="4"/>
  <c r="BS11" i="2"/>
  <c r="GJ11" i="2" s="1"/>
  <c r="FU11" i="2"/>
  <c r="BS12" i="2"/>
  <c r="GJ12" i="2" s="1"/>
  <c r="FU12" i="2"/>
  <c r="FU20" i="2"/>
  <c r="BS20" i="2"/>
  <c r="GJ20" i="2" s="1"/>
  <c r="BS10" i="2"/>
  <c r="GJ10" i="2" s="1"/>
  <c r="FU10" i="2"/>
  <c r="BS15" i="2"/>
  <c r="GJ15" i="2" s="1"/>
  <c r="FU15" i="2"/>
  <c r="FU18" i="2"/>
  <c r="BS18" i="2"/>
  <c r="GJ18" i="2" s="1"/>
  <c r="FU21" i="2"/>
  <c r="BS21" i="2"/>
  <c r="GJ21" i="2" s="1"/>
  <c r="BS17" i="2"/>
  <c r="GJ17" i="2" s="1"/>
  <c r="FU17" i="2"/>
  <c r="BS14" i="2"/>
  <c r="GJ14" i="2" s="1"/>
  <c r="FU14" i="2"/>
  <c r="FU16" i="2"/>
  <c r="BS16" i="2"/>
  <c r="GJ16" i="2" s="1"/>
  <c r="BS4" i="2"/>
  <c r="GJ4" i="2" s="1"/>
  <c r="FU4" i="2"/>
  <c r="FU24" i="2"/>
  <c r="BS24" i="2"/>
  <c r="GJ24" i="2" s="1"/>
  <c r="FU26" i="2"/>
  <c r="BS26" i="2"/>
  <c r="GJ26" i="2" s="1"/>
  <c r="BS22" i="2"/>
  <c r="GJ22" i="2" s="1"/>
  <c r="FU22" i="2"/>
  <c r="FU25" i="2"/>
  <c r="BS25" i="2"/>
  <c r="GJ25" i="2" s="1"/>
  <c r="BO5" i="2"/>
  <c r="BR5" i="2" s="1"/>
  <c r="BN28" i="2"/>
  <c r="FU19" i="2"/>
  <c r="BS19" i="2"/>
  <c r="GJ19" i="2" s="1"/>
  <c r="FU13" i="2"/>
  <c r="BS13" i="2"/>
  <c r="GJ13" i="2" s="1"/>
  <c r="MF28" i="1"/>
  <c r="MG25" i="1"/>
  <c r="D9" i="2"/>
  <c r="D12" i="2"/>
  <c r="D5" i="2"/>
  <c r="D6" i="2"/>
  <c r="D4" i="2"/>
  <c r="D11" i="2"/>
  <c r="D10" i="2"/>
  <c r="D8" i="2"/>
  <c r="D7" i="2"/>
  <c r="DK28" i="2"/>
  <c r="DO9" i="2"/>
  <c r="DO27" i="2"/>
  <c r="DO7" i="2"/>
  <c r="DO17" i="2"/>
  <c r="DO18" i="2"/>
  <c r="DO26" i="2"/>
  <c r="DO16" i="2"/>
  <c r="DO21" i="2"/>
  <c r="DO10" i="2"/>
  <c r="DO8" i="2"/>
  <c r="DO15" i="2"/>
  <c r="DO19" i="2"/>
  <c r="DO20" i="2"/>
  <c r="DO5" i="2"/>
  <c r="DO4" i="2"/>
  <c r="DO11" i="2"/>
  <c r="DO25" i="2"/>
  <c r="DO23" i="2"/>
  <c r="DO24" i="2"/>
  <c r="DO6" i="2"/>
  <c r="DO22" i="2"/>
  <c r="DO13" i="2"/>
  <c r="DO12" i="2"/>
  <c r="DO14" i="2"/>
  <c r="MF12" i="1"/>
  <c r="MG9" i="1"/>
  <c r="MF7" i="1"/>
  <c r="MG7" i="1" s="1"/>
  <c r="ER28" i="2"/>
  <c r="ES4" i="2"/>
  <c r="DM25" i="2"/>
  <c r="DM10" i="2"/>
  <c r="DM9" i="2"/>
  <c r="DM20" i="2"/>
  <c r="DM12" i="2"/>
  <c r="DM16" i="2"/>
  <c r="DM15" i="2"/>
  <c r="DM19" i="2"/>
  <c r="DM11" i="2"/>
  <c r="DM18" i="2"/>
  <c r="DM17" i="2"/>
  <c r="DM7" i="2"/>
  <c r="DM4" i="2"/>
  <c r="DM14" i="2"/>
  <c r="DM24" i="2"/>
  <c r="DM6" i="2"/>
  <c r="DM27" i="2"/>
  <c r="DM5" i="2"/>
  <c r="DM23" i="2"/>
  <c r="DM21" i="2"/>
  <c r="DM13" i="2"/>
  <c r="DM8" i="2"/>
  <c r="DM26" i="2"/>
  <c r="DM22" i="2"/>
  <c r="DJ28" i="2"/>
  <c r="HW4" i="10" l="1"/>
  <c r="HT28" i="10"/>
  <c r="HV4" i="10"/>
  <c r="IT28" i="10"/>
  <c r="HC4" i="10"/>
  <c r="HK4" i="10"/>
  <c r="HK6" i="10" s="1"/>
  <c r="HB28" i="10"/>
  <c r="IY4" i="10"/>
  <c r="JB4" i="10" s="1"/>
  <c r="IX28" i="10"/>
  <c r="IY28" i="10" s="1"/>
  <c r="IZ15" i="10"/>
  <c r="JA15" i="10"/>
  <c r="JJ15" i="10"/>
  <c r="IZ17" i="10"/>
  <c r="JA17" i="10"/>
  <c r="JJ17" i="10"/>
  <c r="HJ5" i="10"/>
  <c r="HJ4" i="10"/>
  <c r="HJ6" i="10" s="1"/>
  <c r="IT9" i="8"/>
  <c r="JB9" i="8" s="1"/>
  <c r="HT9" i="8"/>
  <c r="HB9" i="8"/>
  <c r="HC9" i="8" s="1"/>
  <c r="IZ9" i="8"/>
  <c r="JA9" i="8"/>
  <c r="JJ9" i="8"/>
  <c r="IT14" i="8"/>
  <c r="JB14" i="8" s="1"/>
  <c r="HT14" i="8"/>
  <c r="HB14" i="8"/>
  <c r="HC14" i="8" s="1"/>
  <c r="IZ14" i="8"/>
  <c r="JA14" i="8"/>
  <c r="JJ14" i="8"/>
  <c r="IT15" i="8"/>
  <c r="HT15" i="8"/>
  <c r="HB15" i="8"/>
  <c r="IT19" i="8"/>
  <c r="JB19" i="8" s="1"/>
  <c r="HT19" i="8"/>
  <c r="HB19" i="8"/>
  <c r="HC19" i="8" s="1"/>
  <c r="IZ19" i="8"/>
  <c r="JA19" i="8"/>
  <c r="JJ19" i="8"/>
  <c r="HB17" i="8"/>
  <c r="HC17" i="8" s="1"/>
  <c r="IT17" i="8"/>
  <c r="HT17" i="8"/>
  <c r="IT20" i="8"/>
  <c r="JB20" i="8" s="1"/>
  <c r="HB20" i="8"/>
  <c r="HC20" i="8" s="1"/>
  <c r="HT20" i="8"/>
  <c r="IZ20" i="8"/>
  <c r="JA20" i="8" s="1"/>
  <c r="JJ20" i="8"/>
  <c r="IT21" i="8"/>
  <c r="JB21" i="8" s="1"/>
  <c r="HT21" i="8"/>
  <c r="HB21" i="8"/>
  <c r="HC21" i="8" s="1"/>
  <c r="IZ21" i="8"/>
  <c r="JA21" i="8"/>
  <c r="JJ21" i="8"/>
  <c r="IT7" i="8"/>
  <c r="JB7" i="8" s="1"/>
  <c r="HT7" i="8"/>
  <c r="HB7" i="8"/>
  <c r="HC7" i="8" s="1"/>
  <c r="IZ7" i="8"/>
  <c r="JA7" i="8"/>
  <c r="JJ7" i="8"/>
  <c r="IT16" i="8"/>
  <c r="JB16" i="8" s="1"/>
  <c r="HT16" i="8"/>
  <c r="HB16" i="8"/>
  <c r="HC16" i="8" s="1"/>
  <c r="IZ16" i="8"/>
  <c r="JJ16" i="8"/>
  <c r="JA16" i="8"/>
  <c r="IT26" i="8"/>
  <c r="JB26" i="8" s="1"/>
  <c r="HT26" i="8"/>
  <c r="HB26" i="8"/>
  <c r="HC26" i="8" s="1"/>
  <c r="JJ26" i="8"/>
  <c r="IZ26" i="8"/>
  <c r="JA26" i="8"/>
  <c r="IT10" i="8"/>
  <c r="JB10" i="8" s="1"/>
  <c r="HT10" i="8"/>
  <c r="HB10" i="8"/>
  <c r="HC10" i="8" s="1"/>
  <c r="IZ10" i="8"/>
  <c r="JA10" i="8"/>
  <c r="JJ10" i="8"/>
  <c r="HB11" i="8"/>
  <c r="HC11" i="8" s="1"/>
  <c r="HT11" i="8"/>
  <c r="IT11" i="8"/>
  <c r="JB11" i="8" s="1"/>
  <c r="IZ11" i="8"/>
  <c r="JA11" i="8" s="1"/>
  <c r="JJ11" i="8"/>
  <c r="IT18" i="8"/>
  <c r="JB18" i="8" s="1"/>
  <c r="HT18" i="8"/>
  <c r="HB18" i="8"/>
  <c r="HC18" i="8" s="1"/>
  <c r="IZ18" i="8"/>
  <c r="JA18" i="8"/>
  <c r="JJ18" i="8"/>
  <c r="IT22" i="8"/>
  <c r="JB22" i="8" s="1"/>
  <c r="HT22" i="8"/>
  <c r="HB22" i="8"/>
  <c r="HC22" i="8" s="1"/>
  <c r="IZ22" i="8"/>
  <c r="JA22" i="8"/>
  <c r="JJ22" i="8"/>
  <c r="HB25" i="8"/>
  <c r="HC25" i="8" s="1"/>
  <c r="IT25" i="8"/>
  <c r="JB25" i="8" s="1"/>
  <c r="HT25" i="8"/>
  <c r="JJ25" i="8"/>
  <c r="IZ25" i="8"/>
  <c r="JA25" i="8" s="1"/>
  <c r="GY4" i="8"/>
  <c r="GB4" i="8"/>
  <c r="GP4" i="8" s="1"/>
  <c r="GA28" i="8"/>
  <c r="GN28" i="8"/>
  <c r="IT12" i="8"/>
  <c r="JB12" i="8" s="1"/>
  <c r="HT12" i="8"/>
  <c r="HB12" i="8"/>
  <c r="HC12" i="8" s="1"/>
  <c r="IZ12" i="8"/>
  <c r="JA12" i="8"/>
  <c r="JJ12" i="8"/>
  <c r="HA6" i="8"/>
  <c r="IR6" i="8"/>
  <c r="IX6" i="8" s="1"/>
  <c r="IY6" i="8" s="1"/>
  <c r="HA5" i="8"/>
  <c r="IR5" i="8"/>
  <c r="IX5" i="8" s="1"/>
  <c r="IY5" i="8" s="1"/>
  <c r="HA13" i="8"/>
  <c r="IR13" i="8"/>
  <c r="IX13" i="8" s="1"/>
  <c r="IY13" i="8" s="1"/>
  <c r="EW28" i="8"/>
  <c r="IX28" i="6"/>
  <c r="IY28" i="6" s="1"/>
  <c r="IY4" i="6"/>
  <c r="IT28" i="6"/>
  <c r="JB4" i="6"/>
  <c r="HT28" i="6"/>
  <c r="HW4" i="6"/>
  <c r="HV4" i="6"/>
  <c r="HB28" i="6"/>
  <c r="HK4" i="6"/>
  <c r="HK6" i="6" s="1"/>
  <c r="HC4" i="6"/>
  <c r="JJ17" i="6"/>
  <c r="JA17" i="6"/>
  <c r="IZ17" i="6"/>
  <c r="JJ15" i="6"/>
  <c r="IZ15" i="6"/>
  <c r="JA15" i="6" s="1"/>
  <c r="HW25" i="6"/>
  <c r="HV25" i="6"/>
  <c r="JM25" i="6"/>
  <c r="JY25" i="6"/>
  <c r="JL25" i="6"/>
  <c r="HW16" i="6"/>
  <c r="HV16" i="6"/>
  <c r="JY16" i="6"/>
  <c r="JT16" i="6"/>
  <c r="JW16" i="6" s="1"/>
  <c r="JM16" i="6"/>
  <c r="JL16" i="6"/>
  <c r="HW22" i="6"/>
  <c r="HV22" i="6"/>
  <c r="JM22" i="6"/>
  <c r="JL22" i="6"/>
  <c r="JY22" i="6"/>
  <c r="JT22" i="6"/>
  <c r="JW22" i="6" s="1"/>
  <c r="JY6" i="6"/>
  <c r="JT6" i="6"/>
  <c r="JW6" i="6" s="1"/>
  <c r="JM6" i="6"/>
  <c r="JL6" i="6"/>
  <c r="HW6" i="6"/>
  <c r="HV6" i="6"/>
  <c r="HW7" i="6"/>
  <c r="HV7" i="6"/>
  <c r="JY7" i="6"/>
  <c r="JT7" i="6"/>
  <c r="JW7" i="6" s="1"/>
  <c r="JM7" i="6"/>
  <c r="JL7" i="6"/>
  <c r="IT5" i="6"/>
  <c r="JB5" i="6" s="1"/>
  <c r="HT5" i="6"/>
  <c r="HB5" i="6"/>
  <c r="HC5" i="6" s="1"/>
  <c r="IX5" i="6"/>
  <c r="IY5" i="6" s="1"/>
  <c r="IR28" i="6"/>
  <c r="IZ17" i="4"/>
  <c r="JA17" i="4"/>
  <c r="JJ17" i="4"/>
  <c r="IT4" i="4"/>
  <c r="HT4" i="4"/>
  <c r="HB4" i="4"/>
  <c r="HI6" i="4"/>
  <c r="IX4" i="4"/>
  <c r="IR28" i="4"/>
  <c r="IZ15" i="4"/>
  <c r="JA15" i="4"/>
  <c r="JJ15" i="4"/>
  <c r="HW13" i="4"/>
  <c r="HV13" i="4"/>
  <c r="JY13" i="4"/>
  <c r="JM13" i="4"/>
  <c r="JL13" i="4"/>
  <c r="JT13" i="4"/>
  <c r="JW13" i="4" s="1"/>
  <c r="HV20" i="4"/>
  <c r="HW20" i="4"/>
  <c r="JY20" i="4"/>
  <c r="JL20" i="4"/>
  <c r="JM20" i="4"/>
  <c r="JT20" i="4"/>
  <c r="JW20" i="4" s="1"/>
  <c r="DK26" i="2"/>
  <c r="DP26" i="2" s="1"/>
  <c r="DK19" i="2"/>
  <c r="DP19" i="2" s="1"/>
  <c r="DK7" i="2"/>
  <c r="DP7" i="2" s="1"/>
  <c r="DK11" i="2"/>
  <c r="DP11" i="2" s="1"/>
  <c r="DK15" i="2"/>
  <c r="DP15" i="2" s="1"/>
  <c r="DK4" i="2"/>
  <c r="DP4" i="2" s="1"/>
  <c r="DR4" i="2" s="1"/>
  <c r="GL4" i="2" s="1"/>
  <c r="DK22" i="2"/>
  <c r="DP22" i="2" s="1"/>
  <c r="DK25" i="2"/>
  <c r="DP25" i="2" s="1"/>
  <c r="DK21" i="2"/>
  <c r="DP21" i="2" s="1"/>
  <c r="DK16" i="2"/>
  <c r="DP16" i="2" s="1"/>
  <c r="DK9" i="2"/>
  <c r="DP9" i="2" s="1"/>
  <c r="DK5" i="2"/>
  <c r="DP5" i="2" s="1"/>
  <c r="DK10" i="2"/>
  <c r="DP10" i="2" s="1"/>
  <c r="BS5" i="2"/>
  <c r="GJ5" i="2" s="1"/>
  <c r="FU5" i="2"/>
  <c r="FU28" i="2" s="1"/>
  <c r="GJ28" i="2" s="1"/>
  <c r="MG28" i="1"/>
  <c r="MF30" i="1"/>
  <c r="D13" i="2"/>
  <c r="MG12" i="1"/>
  <c r="DK12" i="2"/>
  <c r="DP12" i="2" s="1"/>
  <c r="DK8" i="2"/>
  <c r="DP8" i="2" s="1"/>
  <c r="DR8" i="2" s="1"/>
  <c r="GL8" i="2" s="1"/>
  <c r="DK27" i="2"/>
  <c r="DP27" i="2" s="1"/>
  <c r="DK13" i="2"/>
  <c r="DP13" i="2" s="1"/>
  <c r="DK14" i="2"/>
  <c r="DP14" i="2" s="1"/>
  <c r="DK18" i="2"/>
  <c r="DP18" i="2" s="1"/>
  <c r="DK20" i="2"/>
  <c r="DP20" i="2" s="1"/>
  <c r="DK6" i="2"/>
  <c r="DP6" i="2" s="1"/>
  <c r="DK17" i="2"/>
  <c r="DP17" i="2" s="1"/>
  <c r="DK24" i="2"/>
  <c r="DP24" i="2" s="1"/>
  <c r="DK23" i="2"/>
  <c r="DP23" i="2" s="1"/>
  <c r="HV28" i="10" l="1"/>
  <c r="HW28" i="10"/>
  <c r="IF4" i="10"/>
  <c r="IG4" i="10" s="1"/>
  <c r="HL4" i="10"/>
  <c r="HL6" i="10" s="1"/>
  <c r="HC28" i="10"/>
  <c r="JJ4" i="10"/>
  <c r="IZ4" i="10"/>
  <c r="JY15" i="10"/>
  <c r="JL15" i="10"/>
  <c r="JM15" i="10"/>
  <c r="JT15" i="10"/>
  <c r="JW15" i="10" s="1"/>
  <c r="JY17" i="10"/>
  <c r="JL17" i="10"/>
  <c r="JM17" i="10"/>
  <c r="JT17" i="10"/>
  <c r="JW17" i="10" s="1"/>
  <c r="HV9" i="8"/>
  <c r="HW9" i="8"/>
  <c r="JY9" i="8"/>
  <c r="JL9" i="8"/>
  <c r="JM9" i="8"/>
  <c r="JT9" i="8"/>
  <c r="JW9" i="8" s="1"/>
  <c r="HV14" i="8"/>
  <c r="HW14" i="8"/>
  <c r="JY14" i="8"/>
  <c r="JL14" i="8"/>
  <c r="JM14" i="8"/>
  <c r="JT14" i="8"/>
  <c r="JW14" i="8" s="1"/>
  <c r="IY15" i="8"/>
  <c r="JB15" i="8"/>
  <c r="HV15" i="8"/>
  <c r="HW15" i="8"/>
  <c r="HK5" i="8"/>
  <c r="HC15" i="8"/>
  <c r="HL5" i="8" s="1"/>
  <c r="HV19" i="8"/>
  <c r="HW19" i="8"/>
  <c r="JY19" i="8"/>
  <c r="JL19" i="8"/>
  <c r="JM19" i="8"/>
  <c r="JT19" i="8"/>
  <c r="JW19" i="8" s="1"/>
  <c r="IY17" i="8"/>
  <c r="JB17" i="8"/>
  <c r="HW17" i="8"/>
  <c r="HV17" i="8"/>
  <c r="HV20" i="8"/>
  <c r="HW20" i="8"/>
  <c r="JY20" i="8"/>
  <c r="JL20" i="8"/>
  <c r="JM20" i="8"/>
  <c r="JT20" i="8"/>
  <c r="JW20" i="8" s="1"/>
  <c r="HV21" i="8"/>
  <c r="HW21" i="8"/>
  <c r="JY21" i="8"/>
  <c r="JL21" i="8"/>
  <c r="JM21" i="8"/>
  <c r="JT21" i="8"/>
  <c r="JW21" i="8" s="1"/>
  <c r="HV7" i="8"/>
  <c r="HW7" i="8"/>
  <c r="JY7" i="8"/>
  <c r="JL7" i="8"/>
  <c r="JM7" i="8"/>
  <c r="JT7" i="8"/>
  <c r="JW7" i="8" s="1"/>
  <c r="HV16" i="8"/>
  <c r="HW16" i="8"/>
  <c r="JY16" i="8"/>
  <c r="JL16" i="8"/>
  <c r="JM16" i="8"/>
  <c r="JT16" i="8"/>
  <c r="JW16" i="8" s="1"/>
  <c r="HW26" i="8"/>
  <c r="HV26" i="8"/>
  <c r="JY26" i="8"/>
  <c r="JT26" i="8"/>
  <c r="JW26" i="8" s="1"/>
  <c r="JM26" i="8"/>
  <c r="JL26" i="8"/>
  <c r="HV10" i="8"/>
  <c r="HW10" i="8"/>
  <c r="JY10" i="8"/>
  <c r="JL10" i="8"/>
  <c r="JM10" i="8"/>
  <c r="JT10" i="8"/>
  <c r="JW10" i="8" s="1"/>
  <c r="HV11" i="8"/>
  <c r="HW11" i="8"/>
  <c r="JY11" i="8"/>
  <c r="JT11" i="8"/>
  <c r="JW11" i="8" s="1"/>
  <c r="JM11" i="8"/>
  <c r="JL11" i="8"/>
  <c r="HV18" i="8"/>
  <c r="HW18" i="8"/>
  <c r="JY18" i="8"/>
  <c r="JL18" i="8"/>
  <c r="JM18" i="8"/>
  <c r="JT18" i="8"/>
  <c r="JW18" i="8" s="1"/>
  <c r="HV22" i="8"/>
  <c r="HW22" i="8"/>
  <c r="JY22" i="8"/>
  <c r="JL22" i="8"/>
  <c r="JM22" i="8"/>
  <c r="JT22" i="8"/>
  <c r="JW22" i="8" s="1"/>
  <c r="HV25" i="8"/>
  <c r="HW25" i="8"/>
  <c r="JY25" i="8"/>
  <c r="JM25" i="8"/>
  <c r="JL25" i="8"/>
  <c r="JT25" i="8"/>
  <c r="JW25" i="8" s="1"/>
  <c r="HA4" i="8"/>
  <c r="IR4" i="8"/>
  <c r="GY28" i="8"/>
  <c r="HA28" i="8" s="1"/>
  <c r="HI4" i="8"/>
  <c r="GA29" i="8"/>
  <c r="GP28" i="8"/>
  <c r="HV12" i="8"/>
  <c r="HW12" i="8"/>
  <c r="JY12" i="8"/>
  <c r="JL12" i="8"/>
  <c r="JM12" i="8"/>
  <c r="JT12" i="8"/>
  <c r="JW12" i="8" s="1"/>
  <c r="IT6" i="8"/>
  <c r="JB6" i="8" s="1"/>
  <c r="HT6" i="8"/>
  <c r="HB6" i="8"/>
  <c r="HC6" i="8" s="1"/>
  <c r="IZ6" i="8"/>
  <c r="JA6" i="8"/>
  <c r="JJ6" i="8"/>
  <c r="HB5" i="8"/>
  <c r="HC5" i="8" s="1"/>
  <c r="IT5" i="8"/>
  <c r="JB5" i="8" s="1"/>
  <c r="HT5" i="8"/>
  <c r="IZ5" i="8"/>
  <c r="JA5" i="8" s="1"/>
  <c r="JJ5" i="8"/>
  <c r="IT13" i="8"/>
  <c r="JB13" i="8" s="1"/>
  <c r="HT13" i="8"/>
  <c r="HB13" i="8"/>
  <c r="HC13" i="8" s="1"/>
  <c r="IZ13" i="8"/>
  <c r="JA13" i="8"/>
  <c r="JJ13" i="8"/>
  <c r="JJ4" i="6"/>
  <c r="IZ4" i="6"/>
  <c r="JA4" i="6" s="1"/>
  <c r="JA28" i="6" s="1"/>
  <c r="HV28" i="6"/>
  <c r="IF4" i="6"/>
  <c r="IG4" i="6" s="1"/>
  <c r="HW28" i="6"/>
  <c r="HC28" i="6"/>
  <c r="HL4" i="6"/>
  <c r="HL6" i="6" s="1"/>
  <c r="JY17" i="6"/>
  <c r="JT17" i="6"/>
  <c r="JW17" i="6" s="1"/>
  <c r="JM17" i="6"/>
  <c r="JL17" i="6"/>
  <c r="JY15" i="6"/>
  <c r="JT15" i="6"/>
  <c r="JW15" i="6" s="1"/>
  <c r="JM15" i="6"/>
  <c r="JL15" i="6"/>
  <c r="HW5" i="6"/>
  <c r="HV5" i="6"/>
  <c r="IZ5" i="6"/>
  <c r="JA5" i="6"/>
  <c r="JJ5" i="6"/>
  <c r="JY17" i="4"/>
  <c r="JL17" i="4"/>
  <c r="JM17" i="4"/>
  <c r="JT17" i="4"/>
  <c r="JW17" i="4" s="1"/>
  <c r="IT28" i="4"/>
  <c r="HV4" i="4"/>
  <c r="HW4" i="4"/>
  <c r="HT28" i="4"/>
  <c r="HC4" i="4"/>
  <c r="HK4" i="4"/>
  <c r="HK6" i="4" s="1"/>
  <c r="HB28" i="4"/>
  <c r="IY4" i="4"/>
  <c r="JB4" i="4" s="1"/>
  <c r="IX28" i="4"/>
  <c r="IY28" i="4" s="1"/>
  <c r="JY15" i="4"/>
  <c r="JL15" i="4"/>
  <c r="JM15" i="4"/>
  <c r="JT15" i="4"/>
  <c r="JW15" i="4" s="1"/>
  <c r="HJ5" i="4"/>
  <c r="HJ4" i="4"/>
  <c r="HJ6" i="4" s="1"/>
  <c r="DR22" i="2"/>
  <c r="GL22" i="2" s="1"/>
  <c r="FW22" i="2"/>
  <c r="X22" i="2" s="1"/>
  <c r="FW11" i="2"/>
  <c r="X11" i="2" s="1"/>
  <c r="DR11" i="2"/>
  <c r="GL11" i="2" s="1"/>
  <c r="DR9" i="2"/>
  <c r="GL9" i="2" s="1"/>
  <c r="FW9" i="2"/>
  <c r="X9" i="2" s="1"/>
  <c r="MF32" i="1"/>
  <c r="MG30" i="1"/>
  <c r="FW4" i="2"/>
  <c r="X4" i="2" s="1"/>
  <c r="DP28" i="2"/>
  <c r="DQ12" i="2" s="1"/>
  <c r="FW21" i="2"/>
  <c r="DR21" i="2"/>
  <c r="GL21" i="2" s="1"/>
  <c r="FW25" i="2"/>
  <c r="DR25" i="2"/>
  <c r="GL25" i="2" s="1"/>
  <c r="FW15" i="2"/>
  <c r="DR15" i="2"/>
  <c r="GL15" i="2" s="1"/>
  <c r="FW10" i="2"/>
  <c r="DR10" i="2"/>
  <c r="GL10" i="2" s="1"/>
  <c r="DR7" i="2"/>
  <c r="GL7" i="2" s="1"/>
  <c r="FW7" i="2"/>
  <c r="FW27" i="2"/>
  <c r="DR27" i="2"/>
  <c r="GL27" i="2" s="1"/>
  <c r="FW16" i="2"/>
  <c r="DR16" i="2"/>
  <c r="GL16" i="2" s="1"/>
  <c r="DR6" i="2"/>
  <c r="GL6" i="2" s="1"/>
  <c r="FW6" i="2"/>
  <c r="FW19" i="2"/>
  <c r="DR19" i="2"/>
  <c r="GL19" i="2" s="1"/>
  <c r="DR17" i="2"/>
  <c r="GL17" i="2" s="1"/>
  <c r="FW17" i="2"/>
  <c r="FW20" i="2"/>
  <c r="DR20" i="2"/>
  <c r="GL20" i="2" s="1"/>
  <c r="FW18" i="2"/>
  <c r="DR18" i="2"/>
  <c r="GL18" i="2" s="1"/>
  <c r="FW14" i="2"/>
  <c r="DR14" i="2"/>
  <c r="GL14" i="2" s="1"/>
  <c r="DR13" i="2"/>
  <c r="GL13" i="2" s="1"/>
  <c r="FW13" i="2"/>
  <c r="FW8" i="2"/>
  <c r="FW5" i="2"/>
  <c r="DR5" i="2"/>
  <c r="GL5" i="2" s="1"/>
  <c r="DR12" i="2"/>
  <c r="GL12" i="2" s="1"/>
  <c r="FW12" i="2"/>
  <c r="FW23" i="2"/>
  <c r="DR23" i="2"/>
  <c r="GL23" i="2" s="1"/>
  <c r="FW24" i="2"/>
  <c r="DR24" i="2"/>
  <c r="GL24" i="2" s="1"/>
  <c r="FW26" i="2"/>
  <c r="DR26" i="2"/>
  <c r="GL26" i="2" s="1"/>
  <c r="JJ28" i="10" l="1"/>
  <c r="JY4" i="10"/>
  <c r="JM4" i="10"/>
  <c r="JL4" i="10"/>
  <c r="JT4" i="10"/>
  <c r="IZ28" i="10"/>
  <c r="JA4" i="10"/>
  <c r="JA28" i="10" s="1"/>
  <c r="IZ15" i="8"/>
  <c r="JA15" i="8"/>
  <c r="JJ15" i="8"/>
  <c r="JJ17" i="8"/>
  <c r="IZ17" i="8"/>
  <c r="JA17" i="8"/>
  <c r="IT4" i="8"/>
  <c r="HT4" i="8"/>
  <c r="HB4" i="8"/>
  <c r="IX4" i="8"/>
  <c r="IR28" i="8"/>
  <c r="HI6" i="8"/>
  <c r="HV6" i="8"/>
  <c r="HW6" i="8"/>
  <c r="JY6" i="8"/>
  <c r="JL6" i="8"/>
  <c r="JM6" i="8"/>
  <c r="JT6" i="8"/>
  <c r="JW6" i="8" s="1"/>
  <c r="HV5" i="8"/>
  <c r="HW5" i="8"/>
  <c r="JY5" i="8"/>
  <c r="JL5" i="8"/>
  <c r="JM5" i="8"/>
  <c r="JT5" i="8"/>
  <c r="JW5" i="8" s="1"/>
  <c r="HV13" i="8"/>
  <c r="HW13" i="8"/>
  <c r="JY13" i="8"/>
  <c r="JL13" i="8"/>
  <c r="JM13" i="8"/>
  <c r="JT13" i="8"/>
  <c r="JW13" i="8" s="1"/>
  <c r="JJ28" i="6"/>
  <c r="JY4" i="6"/>
  <c r="JT4" i="6"/>
  <c r="JM4" i="6"/>
  <c r="JL4" i="6"/>
  <c r="JY5" i="6"/>
  <c r="JT5" i="6"/>
  <c r="JW5" i="6" s="1"/>
  <c r="JM5" i="6"/>
  <c r="JL5" i="6"/>
  <c r="IZ28" i="6"/>
  <c r="HV28" i="4"/>
  <c r="HW28" i="4"/>
  <c r="IF4" i="4"/>
  <c r="IG4" i="4" s="1"/>
  <c r="HL4" i="4"/>
  <c r="HL6" i="4" s="1"/>
  <c r="HC28" i="4"/>
  <c r="IZ4" i="4"/>
  <c r="IZ28" i="4" s="1"/>
  <c r="JA4" i="4"/>
  <c r="JA28" i="4" s="1"/>
  <c r="JJ4" i="4"/>
  <c r="DQ16" i="2"/>
  <c r="DQ5" i="2"/>
  <c r="DQ21" i="2"/>
  <c r="DQ10" i="2"/>
  <c r="DQ17" i="2"/>
  <c r="DQ20" i="2"/>
  <c r="DQ13" i="2"/>
  <c r="DQ8" i="2"/>
  <c r="DQ23" i="2"/>
  <c r="DQ24" i="2"/>
  <c r="DQ27" i="2"/>
  <c r="DQ15" i="2"/>
  <c r="DQ11" i="2"/>
  <c r="DQ22" i="2"/>
  <c r="DQ4" i="2"/>
  <c r="DQ9" i="2"/>
  <c r="DR28" i="2"/>
  <c r="DQ14" i="2"/>
  <c r="DQ19" i="2"/>
  <c r="DQ25" i="2"/>
  <c r="DQ7" i="2"/>
  <c r="DQ26" i="2"/>
  <c r="DQ18" i="2"/>
  <c r="DQ6" i="2"/>
  <c r="X25" i="2"/>
  <c r="X21" i="2"/>
  <c r="X19" i="2"/>
  <c r="X5" i="2"/>
  <c r="X6" i="2"/>
  <c r="X7" i="2"/>
  <c r="X26" i="2"/>
  <c r="X14" i="2"/>
  <c r="X18" i="2"/>
  <c r="FW28" i="2"/>
  <c r="Y26" i="2" s="1"/>
  <c r="FL26" i="2" s="1"/>
  <c r="X24" i="2"/>
  <c r="X8" i="2"/>
  <c r="X20" i="2"/>
  <c r="X23" i="2"/>
  <c r="X27" i="2"/>
  <c r="X12" i="2"/>
  <c r="X15" i="2"/>
  <c r="X13" i="2"/>
  <c r="X17" i="2"/>
  <c r="X16" i="2"/>
  <c r="X10" i="2"/>
  <c r="JY28" i="10" l="1"/>
  <c r="JT28" i="10"/>
  <c r="JW28" i="10" s="1"/>
  <c r="JM28" i="10"/>
  <c r="JL28" i="10"/>
  <c r="JW4" i="10"/>
  <c r="KB5" i="10"/>
  <c r="KB6" i="10" s="1"/>
  <c r="JY15" i="8"/>
  <c r="JM15" i="8"/>
  <c r="JL15" i="8"/>
  <c r="JT15" i="8"/>
  <c r="JW15" i="8" s="1"/>
  <c r="JY17" i="8"/>
  <c r="JM17" i="8"/>
  <c r="JL17" i="8"/>
  <c r="JT17" i="8"/>
  <c r="JW17" i="8" s="1"/>
  <c r="IT28" i="8"/>
  <c r="HT28" i="8"/>
  <c r="HV4" i="8"/>
  <c r="HW4" i="8"/>
  <c r="HC4" i="8"/>
  <c r="HK4" i="8"/>
  <c r="HK6" i="8" s="1"/>
  <c r="HB28" i="8"/>
  <c r="IX28" i="8"/>
  <c r="IY28" i="8" s="1"/>
  <c r="IY4" i="8"/>
  <c r="JB4" i="8" s="1"/>
  <c r="HJ5" i="8"/>
  <c r="HJ4" i="8"/>
  <c r="HJ6" i="8" s="1"/>
  <c r="JY28" i="6"/>
  <c r="JL28" i="6"/>
  <c r="JT28" i="6"/>
  <c r="JW28" i="6" s="1"/>
  <c r="JM28" i="6"/>
  <c r="KB5" i="6"/>
  <c r="KB6" i="6" s="1"/>
  <c r="JW4" i="6"/>
  <c r="JY4" i="4"/>
  <c r="JL4" i="4"/>
  <c r="JM4" i="4"/>
  <c r="JT4" i="4"/>
  <c r="JJ28" i="4"/>
  <c r="Y8" i="2"/>
  <c r="FK8" i="2" s="1"/>
  <c r="Y24" i="2"/>
  <c r="FL24" i="2" s="1"/>
  <c r="Y5" i="2"/>
  <c r="EP5" i="2" s="1"/>
  <c r="EQ5" i="2" s="1"/>
  <c r="EV5" i="2" s="1"/>
  <c r="Y13" i="2"/>
  <c r="FL13" i="2" s="1"/>
  <c r="Y7" i="2"/>
  <c r="FK7" i="2" s="1"/>
  <c r="DQ28" i="2"/>
  <c r="Y6" i="2"/>
  <c r="FL6" i="2" s="1"/>
  <c r="Y15" i="2"/>
  <c r="FL15" i="2" s="1"/>
  <c r="X28" i="2"/>
  <c r="Y23" i="2"/>
  <c r="FK23" i="2" s="1"/>
  <c r="Y18" i="2"/>
  <c r="FK18" i="2" s="1"/>
  <c r="Y19" i="2"/>
  <c r="FK19" i="2" s="1"/>
  <c r="Y25" i="2"/>
  <c r="EP25" i="2" s="1"/>
  <c r="EQ25" i="2" s="1"/>
  <c r="EV25" i="2" s="1"/>
  <c r="Y27" i="2"/>
  <c r="FL27" i="2" s="1"/>
  <c r="Y10" i="2"/>
  <c r="FL10" i="2" s="1"/>
  <c r="FZ10" i="2" s="1"/>
  <c r="Y21" i="2"/>
  <c r="FL21" i="2" s="1"/>
  <c r="Y14" i="2"/>
  <c r="FL14" i="2" s="1"/>
  <c r="Y16" i="2"/>
  <c r="FL16" i="2" s="1"/>
  <c r="Y17" i="2"/>
  <c r="FL17" i="2" s="1"/>
  <c r="Y20" i="2"/>
  <c r="FL20" i="2" s="1"/>
  <c r="FL5" i="2"/>
  <c r="FK26" i="2"/>
  <c r="EP26" i="2"/>
  <c r="EQ26" i="2" s="1"/>
  <c r="EV26" i="2" s="1"/>
  <c r="GL28" i="2"/>
  <c r="Y9" i="2"/>
  <c r="Y11" i="2"/>
  <c r="Y22" i="2"/>
  <c r="Y4" i="2"/>
  <c r="Y12" i="2"/>
  <c r="HV28" i="8" l="1"/>
  <c r="IF4" i="8"/>
  <c r="IG4" i="8" s="1"/>
  <c r="HW28" i="8"/>
  <c r="HL4" i="8"/>
  <c r="HL6" i="8" s="1"/>
  <c r="HC28" i="8"/>
  <c r="JJ4" i="8"/>
  <c r="IZ4" i="8"/>
  <c r="JW4" i="4"/>
  <c r="KB5" i="4"/>
  <c r="KB6" i="4" s="1"/>
  <c r="JY28" i="4"/>
  <c r="JL28" i="4"/>
  <c r="JM28" i="4"/>
  <c r="JT28" i="4"/>
  <c r="JW28" i="4" s="1"/>
  <c r="EP8" i="2"/>
  <c r="EQ8" i="2" s="1"/>
  <c r="EV8" i="2" s="1"/>
  <c r="FL8" i="2"/>
  <c r="FL18" i="2"/>
  <c r="FZ18" i="2" s="1"/>
  <c r="EP19" i="2"/>
  <c r="EQ19" i="2" s="1"/>
  <c r="EV19" i="2" s="1"/>
  <c r="FK13" i="2"/>
  <c r="EP13" i="2"/>
  <c r="EQ13" i="2" s="1"/>
  <c r="EV13" i="2" s="1"/>
  <c r="FY13" i="2" s="1"/>
  <c r="FK5" i="2"/>
  <c r="FK6" i="2"/>
  <c r="EP24" i="2"/>
  <c r="EQ24" i="2" s="1"/>
  <c r="EV24" i="2" s="1"/>
  <c r="EX24" i="2" s="1"/>
  <c r="GN24" i="2" s="1"/>
  <c r="FK24" i="2"/>
  <c r="EP6" i="2"/>
  <c r="EQ6" i="2" s="1"/>
  <c r="EV6" i="2" s="1"/>
  <c r="FY6" i="2" s="1"/>
  <c r="FL7" i="2"/>
  <c r="FK15" i="2"/>
  <c r="EP15" i="2"/>
  <c r="EQ15" i="2" s="1"/>
  <c r="EV15" i="2" s="1"/>
  <c r="FY15" i="2" s="1"/>
  <c r="EP7" i="2"/>
  <c r="EQ7" i="2" s="1"/>
  <c r="EV7" i="2" s="1"/>
  <c r="EX7" i="2" s="1"/>
  <c r="GN7" i="2" s="1"/>
  <c r="EP18" i="2"/>
  <c r="EQ18" i="2" s="1"/>
  <c r="EV18" i="2" s="1"/>
  <c r="FY18" i="2" s="1"/>
  <c r="EP23" i="2"/>
  <c r="EQ23" i="2" s="1"/>
  <c r="EV23" i="2" s="1"/>
  <c r="FY23" i="2" s="1"/>
  <c r="FK25" i="2"/>
  <c r="FL25" i="2"/>
  <c r="FZ25" i="2" s="1"/>
  <c r="FL23" i="2"/>
  <c r="FZ23" i="2" s="1"/>
  <c r="EP21" i="2"/>
  <c r="EQ21" i="2" s="1"/>
  <c r="EV21" i="2" s="1"/>
  <c r="EP16" i="2"/>
  <c r="EQ16" i="2" s="1"/>
  <c r="EV16" i="2" s="1"/>
  <c r="FY16" i="2" s="1"/>
  <c r="FK16" i="2"/>
  <c r="EP14" i="2"/>
  <c r="EQ14" i="2" s="1"/>
  <c r="EV14" i="2" s="1"/>
  <c r="FY14" i="2" s="1"/>
  <c r="FK14" i="2"/>
  <c r="EP20" i="2"/>
  <c r="EQ20" i="2" s="1"/>
  <c r="EV20" i="2" s="1"/>
  <c r="EX20" i="2" s="1"/>
  <c r="GN20" i="2" s="1"/>
  <c r="FK21" i="2"/>
  <c r="FK10" i="2"/>
  <c r="FK20" i="2"/>
  <c r="EP17" i="2"/>
  <c r="EQ17" i="2" s="1"/>
  <c r="EV17" i="2" s="1"/>
  <c r="FY17" i="2" s="1"/>
  <c r="EP27" i="2"/>
  <c r="EQ27" i="2" s="1"/>
  <c r="EV27" i="2" s="1"/>
  <c r="FY27" i="2" s="1"/>
  <c r="FK17" i="2"/>
  <c r="FK27" i="2"/>
  <c r="EP10" i="2"/>
  <c r="EQ10" i="2" s="1"/>
  <c r="EV10" i="2" s="1"/>
  <c r="EX10" i="2" s="1"/>
  <c r="GN10" i="2" s="1"/>
  <c r="FL19" i="2"/>
  <c r="FM19" i="2" s="1"/>
  <c r="GO19" i="2" s="1"/>
  <c r="FZ16" i="2"/>
  <c r="FM16" i="2"/>
  <c r="GO16" i="2" s="1"/>
  <c r="FZ21" i="2"/>
  <c r="FM21" i="2"/>
  <c r="GO21" i="2" s="1"/>
  <c r="FM18" i="2"/>
  <c r="GO18" i="2" s="1"/>
  <c r="FZ14" i="2"/>
  <c r="FM14" i="2"/>
  <c r="GO14" i="2" s="1"/>
  <c r="FZ24" i="2"/>
  <c r="FM24" i="2"/>
  <c r="GO24" i="2" s="1"/>
  <c r="FZ15" i="2"/>
  <c r="FM15" i="2"/>
  <c r="GO15" i="2" s="1"/>
  <c r="FM10" i="2"/>
  <c r="GO10" i="2" s="1"/>
  <c r="FZ5" i="2"/>
  <c r="FM5" i="2"/>
  <c r="GO5" i="2" s="1"/>
  <c r="FM6" i="2"/>
  <c r="GO6" i="2" s="1"/>
  <c r="FZ6" i="2"/>
  <c r="FY5" i="2"/>
  <c r="EX5" i="2"/>
  <c r="GN5" i="2" s="1"/>
  <c r="FZ20" i="2"/>
  <c r="FM20" i="2"/>
  <c r="GO20" i="2" s="1"/>
  <c r="FK12" i="2"/>
  <c r="FL12" i="2"/>
  <c r="EP12" i="2"/>
  <c r="EQ12" i="2" s="1"/>
  <c r="EV12" i="2" s="1"/>
  <c r="Y28" i="2"/>
  <c r="FK28" i="2" s="1"/>
  <c r="FL4" i="2"/>
  <c r="FK4" i="2"/>
  <c r="EP4" i="2"/>
  <c r="FK22" i="2"/>
  <c r="FL22" i="2"/>
  <c r="EP22" i="2"/>
  <c r="EQ22" i="2" s="1"/>
  <c r="EV22" i="2" s="1"/>
  <c r="FL11" i="2"/>
  <c r="FK11" i="2"/>
  <c r="EP11" i="2"/>
  <c r="EQ11" i="2" s="1"/>
  <c r="EV11" i="2" s="1"/>
  <c r="FY25" i="2"/>
  <c r="EX25" i="2"/>
  <c r="GN25" i="2" s="1"/>
  <c r="FY26" i="2"/>
  <c r="EX26" i="2"/>
  <c r="GN26" i="2" s="1"/>
  <c r="FL9" i="2"/>
  <c r="FK9" i="2"/>
  <c r="EP9" i="2"/>
  <c r="EQ9" i="2" s="1"/>
  <c r="EV9" i="2" s="1"/>
  <c r="FZ26" i="2"/>
  <c r="FM26" i="2"/>
  <c r="GO26" i="2" s="1"/>
  <c r="FM17" i="2"/>
  <c r="GO17" i="2" s="1"/>
  <c r="FZ17" i="2"/>
  <c r="FZ27" i="2"/>
  <c r="FM27" i="2"/>
  <c r="GO27" i="2" s="1"/>
  <c r="FM13" i="2"/>
  <c r="GO13" i="2" s="1"/>
  <c r="FZ13" i="2"/>
  <c r="JJ28" i="8" l="1"/>
  <c r="JY4" i="8"/>
  <c r="JT4" i="8"/>
  <c r="JM4" i="8"/>
  <c r="JL4" i="8"/>
  <c r="IZ28" i="8"/>
  <c r="JA4" i="8"/>
  <c r="JA28" i="8" s="1"/>
  <c r="EX19" i="2"/>
  <c r="GN19" i="2" s="1"/>
  <c r="FY19" i="2"/>
  <c r="FM7" i="2"/>
  <c r="GO7" i="2" s="1"/>
  <c r="FZ7" i="2"/>
  <c r="FY8" i="2"/>
  <c r="EX8" i="2"/>
  <c r="GN8" i="2" s="1"/>
  <c r="FZ8" i="2"/>
  <c r="FM8" i="2"/>
  <c r="GO8" i="2" s="1"/>
  <c r="FY21" i="2"/>
  <c r="GA21" i="2" s="1"/>
  <c r="EX21" i="2"/>
  <c r="GN21" i="2" s="1"/>
  <c r="FY7" i="2"/>
  <c r="EX13" i="2"/>
  <c r="GN13" i="2" s="1"/>
  <c r="EX6" i="2"/>
  <c r="GN6" i="2" s="1"/>
  <c r="FM25" i="2"/>
  <c r="GO25" i="2" s="1"/>
  <c r="EX15" i="2"/>
  <c r="GN15" i="2" s="1"/>
  <c r="FY24" i="2"/>
  <c r="GA24" i="2" s="1"/>
  <c r="GY24" i="2" s="1"/>
  <c r="EX23" i="2"/>
  <c r="GN23" i="2" s="1"/>
  <c r="EX14" i="2"/>
  <c r="GN14" i="2" s="1"/>
  <c r="EX18" i="2"/>
  <c r="GN18" i="2" s="1"/>
  <c r="GA25" i="2"/>
  <c r="GY25" i="2" s="1"/>
  <c r="FM23" i="2"/>
  <c r="GO23" i="2" s="1"/>
  <c r="EX16" i="2"/>
  <c r="GN16" i="2" s="1"/>
  <c r="EX17" i="2"/>
  <c r="GN17" i="2" s="1"/>
  <c r="EX27" i="2"/>
  <c r="GN27" i="2" s="1"/>
  <c r="FY20" i="2"/>
  <c r="GA20" i="2" s="1"/>
  <c r="FY10" i="2"/>
  <c r="GA10" i="2" s="1"/>
  <c r="GY10" i="2" s="1"/>
  <c r="GA23" i="2"/>
  <c r="GY23" i="2" s="1"/>
  <c r="FZ19" i="2"/>
  <c r="GA13" i="2"/>
  <c r="GY13" i="2" s="1"/>
  <c r="GA18" i="2"/>
  <c r="GY18" i="2" s="1"/>
  <c r="GA15" i="2"/>
  <c r="GY15" i="2" s="1"/>
  <c r="GA26" i="2"/>
  <c r="GY26" i="2" s="1"/>
  <c r="FZ11" i="2"/>
  <c r="FM11" i="2"/>
  <c r="GO11" i="2" s="1"/>
  <c r="FZ12" i="2"/>
  <c r="FM12" i="2"/>
  <c r="GO12" i="2" s="1"/>
  <c r="FY11" i="2"/>
  <c r="EX11" i="2"/>
  <c r="GN11" i="2" s="1"/>
  <c r="GA27" i="2"/>
  <c r="GA16" i="2"/>
  <c r="FY22" i="2"/>
  <c r="EX22" i="2"/>
  <c r="GN22" i="2" s="1"/>
  <c r="GA17" i="2"/>
  <c r="GA6" i="2"/>
  <c r="EX9" i="2"/>
  <c r="GN9" i="2" s="1"/>
  <c r="FY9" i="2"/>
  <c r="FZ22" i="2"/>
  <c r="FM22" i="2"/>
  <c r="GO22" i="2" s="1"/>
  <c r="FZ9" i="2"/>
  <c r="FM9" i="2"/>
  <c r="GO9" i="2" s="1"/>
  <c r="EP28" i="2"/>
  <c r="EQ4" i="2"/>
  <c r="EV4" i="2" s="1"/>
  <c r="FY12" i="2"/>
  <c r="EX12" i="2"/>
  <c r="GN12" i="2" s="1"/>
  <c r="GA5" i="2"/>
  <c r="GA14" i="2"/>
  <c r="FZ4" i="2"/>
  <c r="FM4" i="2"/>
  <c r="GO4" i="2" s="1"/>
  <c r="JY28" i="8" l="1"/>
  <c r="JL28" i="8"/>
  <c r="JT28" i="8"/>
  <c r="JW28" i="8" s="1"/>
  <c r="JM28" i="8"/>
  <c r="KB5" i="8"/>
  <c r="KB6" i="8" s="1"/>
  <c r="JW4" i="8"/>
  <c r="GA19" i="2"/>
  <c r="GY19" i="2" s="1"/>
  <c r="HA19" i="2" s="1"/>
  <c r="GA8" i="2"/>
  <c r="GY8" i="2" s="1"/>
  <c r="GA7" i="2"/>
  <c r="GY7" i="2" s="1"/>
  <c r="GB8" i="2"/>
  <c r="GP8" i="2" s="1"/>
  <c r="FZ28" i="2"/>
  <c r="GB7" i="2"/>
  <c r="GP7" i="2" s="1"/>
  <c r="GB25" i="2"/>
  <c r="GP25" i="2" s="1"/>
  <c r="GB24" i="2"/>
  <c r="GP24" i="2" s="1"/>
  <c r="GB10" i="2"/>
  <c r="GP10" i="2" s="1"/>
  <c r="GB23" i="2"/>
  <c r="GP23" i="2" s="1"/>
  <c r="GB19" i="2"/>
  <c r="GP19" i="2" s="1"/>
  <c r="GB18" i="2"/>
  <c r="GP18" i="2" s="1"/>
  <c r="GB13" i="2"/>
  <c r="GP13" i="2" s="1"/>
  <c r="GB15" i="2"/>
  <c r="GP15" i="2" s="1"/>
  <c r="GA12" i="2"/>
  <c r="GY12" i="2" s="1"/>
  <c r="GA11" i="2"/>
  <c r="GB11" i="2" s="1"/>
  <c r="GP11" i="2" s="1"/>
  <c r="GA22" i="2"/>
  <c r="GY22" i="2" s="1"/>
  <c r="GB26" i="2"/>
  <c r="GP26" i="2" s="1"/>
  <c r="GA9" i="2"/>
  <c r="GY9" i="2" s="1"/>
  <c r="GY16" i="2"/>
  <c r="GB16" i="2"/>
  <c r="GP16" i="2" s="1"/>
  <c r="IR15" i="2"/>
  <c r="IX15" i="2" s="1"/>
  <c r="HA15" i="2"/>
  <c r="GY5" i="2"/>
  <c r="GB5" i="2"/>
  <c r="GP5" i="2" s="1"/>
  <c r="GY21" i="2"/>
  <c r="GB21" i="2"/>
  <c r="GP21" i="2" s="1"/>
  <c r="GY14" i="2"/>
  <c r="GB14" i="2"/>
  <c r="GP14" i="2" s="1"/>
  <c r="EV28" i="2"/>
  <c r="EW4" i="2" s="1"/>
  <c r="FY4" i="2"/>
  <c r="EX4" i="2"/>
  <c r="GN4" i="2" s="1"/>
  <c r="IR24" i="2"/>
  <c r="IX24" i="2" s="1"/>
  <c r="HA24" i="2"/>
  <c r="IR23" i="2"/>
  <c r="IX23" i="2" s="1"/>
  <c r="HA23" i="2"/>
  <c r="IR10" i="2"/>
  <c r="IX10" i="2" s="1"/>
  <c r="IY10" i="2" s="1"/>
  <c r="HA10" i="2"/>
  <c r="GY6" i="2"/>
  <c r="GB6" i="2"/>
  <c r="GP6" i="2" s="1"/>
  <c r="GY17" i="2"/>
  <c r="GB17" i="2"/>
  <c r="GP17" i="2" s="1"/>
  <c r="IR13" i="2"/>
  <c r="IX13" i="2" s="1"/>
  <c r="IY13" i="2" s="1"/>
  <c r="HA13" i="2"/>
  <c r="GY20" i="2"/>
  <c r="GB20" i="2"/>
  <c r="GP20" i="2" s="1"/>
  <c r="GY27" i="2"/>
  <c r="GB27" i="2"/>
  <c r="GP27" i="2" s="1"/>
  <c r="IR18" i="2"/>
  <c r="IX18" i="2" s="1"/>
  <c r="IY18" i="2" s="1"/>
  <c r="HA18" i="2"/>
  <c r="IR25" i="2"/>
  <c r="IX25" i="2" s="1"/>
  <c r="IY25" i="2" s="1"/>
  <c r="HA25" i="2"/>
  <c r="IR26" i="2"/>
  <c r="IX26" i="2" s="1"/>
  <c r="IY26" i="2" s="1"/>
  <c r="HA26" i="2"/>
  <c r="IR7" i="2" l="1"/>
  <c r="IX7" i="2" s="1"/>
  <c r="IY7" i="2" s="1"/>
  <c r="HA7" i="2"/>
  <c r="HC8" i="2"/>
  <c r="IR8" i="2"/>
  <c r="IX8" i="2" s="1"/>
  <c r="IR19" i="2"/>
  <c r="IX19" i="2" s="1"/>
  <c r="IY19" i="2" s="1"/>
  <c r="JJ19" i="2" s="1"/>
  <c r="GB12" i="2"/>
  <c r="GP12" i="2" s="1"/>
  <c r="GB22" i="2"/>
  <c r="GP22" i="2" s="1"/>
  <c r="GO28" i="2"/>
  <c r="GY11" i="2"/>
  <c r="IR11" i="2" s="1"/>
  <c r="IX11" i="2" s="1"/>
  <c r="IY11" i="2" s="1"/>
  <c r="GB9" i="2"/>
  <c r="GP9" i="2" s="1"/>
  <c r="IT15" i="2"/>
  <c r="HT15" i="2"/>
  <c r="HB15" i="2"/>
  <c r="HT26" i="2"/>
  <c r="HB26" i="2"/>
  <c r="HC26" i="2" s="1"/>
  <c r="IT26" i="2"/>
  <c r="JB26" i="2" s="1"/>
  <c r="IR6" i="2"/>
  <c r="IX6" i="2" s="1"/>
  <c r="IY6" i="2" s="1"/>
  <c r="HA6" i="2"/>
  <c r="FY28" i="2"/>
  <c r="GA4" i="2"/>
  <c r="IR16" i="2"/>
  <c r="IX16" i="2" s="1"/>
  <c r="IY16" i="2" s="1"/>
  <c r="HA16" i="2"/>
  <c r="HT18" i="2"/>
  <c r="HB18" i="2"/>
  <c r="HC18" i="2" s="1"/>
  <c r="IT18" i="2"/>
  <c r="JB18" i="2" s="1"/>
  <c r="EX28" i="2"/>
  <c r="EW14" i="2"/>
  <c r="EW5" i="2"/>
  <c r="EW24" i="2"/>
  <c r="EW23" i="2"/>
  <c r="EW6" i="2"/>
  <c r="EW13" i="2"/>
  <c r="EW20" i="2"/>
  <c r="EW17" i="2"/>
  <c r="EW27" i="2"/>
  <c r="EW26" i="2"/>
  <c r="EW16" i="2"/>
  <c r="EW15" i="2"/>
  <c r="EW25" i="2"/>
  <c r="EW10" i="2"/>
  <c r="EW19" i="2"/>
  <c r="EW8" i="2"/>
  <c r="EW21" i="2"/>
  <c r="EW18" i="2"/>
  <c r="EW7" i="2"/>
  <c r="EW9" i="2"/>
  <c r="EW11" i="2"/>
  <c r="EW12" i="2"/>
  <c r="EW22" i="2"/>
  <c r="IR12" i="2"/>
  <c r="IX12" i="2" s="1"/>
  <c r="IY12" i="2" s="1"/>
  <c r="HA12" i="2"/>
  <c r="JJ26" i="2"/>
  <c r="IZ26" i="2"/>
  <c r="JA26" i="2" s="1"/>
  <c r="HT25" i="2"/>
  <c r="HB25" i="2"/>
  <c r="HC25" i="2" s="1"/>
  <c r="IT25" i="2"/>
  <c r="JB25" i="2" s="1"/>
  <c r="HB7" i="2"/>
  <c r="HC7" i="2" s="1"/>
  <c r="HT7" i="2"/>
  <c r="IT7" i="2"/>
  <c r="JB7" i="2" s="1"/>
  <c r="IR5" i="2"/>
  <c r="IX5" i="2" s="1"/>
  <c r="IY5" i="2" s="1"/>
  <c r="HA5" i="2"/>
  <c r="HB13" i="2"/>
  <c r="HC13" i="2" s="1"/>
  <c r="IT13" i="2"/>
  <c r="JB13" i="2" s="1"/>
  <c r="HT13" i="2"/>
  <c r="IR9" i="2"/>
  <c r="IX9" i="2" s="1"/>
  <c r="IY9" i="2" s="1"/>
  <c r="HA9" i="2"/>
  <c r="IR17" i="2"/>
  <c r="IX17" i="2" s="1"/>
  <c r="HA17" i="2"/>
  <c r="HI5" i="2"/>
  <c r="IT10" i="2"/>
  <c r="JB10" i="2" s="1"/>
  <c r="HB10" i="2"/>
  <c r="HC10" i="2" s="1"/>
  <c r="HT10" i="2"/>
  <c r="IR14" i="2"/>
  <c r="IX14" i="2" s="1"/>
  <c r="IY14" i="2" s="1"/>
  <c r="HA14" i="2"/>
  <c r="IR22" i="2"/>
  <c r="IX22" i="2" s="1"/>
  <c r="IY22" i="2" s="1"/>
  <c r="HA22" i="2"/>
  <c r="IR20" i="2"/>
  <c r="IX20" i="2" s="1"/>
  <c r="IY20" i="2" s="1"/>
  <c r="HA20" i="2"/>
  <c r="JJ25" i="2"/>
  <c r="IZ25" i="2"/>
  <c r="JA25" i="2" s="1"/>
  <c r="JJ13" i="2"/>
  <c r="IZ13" i="2"/>
  <c r="JA13" i="2" s="1"/>
  <c r="IR27" i="2"/>
  <c r="IX27" i="2" s="1"/>
  <c r="HA27" i="2"/>
  <c r="IZ18" i="2"/>
  <c r="JA18" i="2" s="1"/>
  <c r="JJ18" i="2"/>
  <c r="HB19" i="2"/>
  <c r="HC19" i="2" s="1"/>
  <c r="HT19" i="2"/>
  <c r="IT19" i="2"/>
  <c r="IZ10" i="2"/>
  <c r="JA10" i="2" s="1"/>
  <c r="JJ10" i="2"/>
  <c r="IT23" i="2"/>
  <c r="HB23" i="2"/>
  <c r="HC23" i="2" s="1"/>
  <c r="HT23" i="2"/>
  <c r="IR21" i="2"/>
  <c r="IX21" i="2" s="1"/>
  <c r="IY21" i="2" s="1"/>
  <c r="HA21" i="2"/>
  <c r="IT24" i="2"/>
  <c r="HB24" i="2"/>
  <c r="HC24" i="2" s="1"/>
  <c r="HT24" i="2"/>
  <c r="IZ7" i="2" l="1"/>
  <c r="JA7" i="2" s="1"/>
  <c r="JJ7" i="2"/>
  <c r="JT19" i="2"/>
  <c r="JW19" i="2" s="1"/>
  <c r="JY19" i="2"/>
  <c r="JT26" i="2"/>
  <c r="JW26" i="2" s="1"/>
  <c r="JY26" i="2"/>
  <c r="JW25" i="2"/>
  <c r="JY25" i="2"/>
  <c r="JT13" i="2"/>
  <c r="JW13" i="2" s="1"/>
  <c r="JY13" i="2"/>
  <c r="JT18" i="2"/>
  <c r="JW18" i="2" s="1"/>
  <c r="JY18" i="2"/>
  <c r="JT10" i="2"/>
  <c r="JW10" i="2" s="1"/>
  <c r="JY10" i="2"/>
  <c r="IZ19" i="2"/>
  <c r="JA19" i="2" s="1"/>
  <c r="JB19" i="2"/>
  <c r="HA11" i="2"/>
  <c r="HB11" i="2" s="1"/>
  <c r="HC11" i="2" s="1"/>
  <c r="EW28" i="2"/>
  <c r="IZ16" i="2"/>
  <c r="JA16" i="2" s="1"/>
  <c r="JJ16" i="2"/>
  <c r="HT17" i="2"/>
  <c r="IT17" i="2"/>
  <c r="HB17" i="2"/>
  <c r="HC17" i="2" s="1"/>
  <c r="HT9" i="2"/>
  <c r="IT9" i="2"/>
  <c r="JB9" i="2" s="1"/>
  <c r="HB9" i="2"/>
  <c r="HC9" i="2" s="1"/>
  <c r="HV25" i="2"/>
  <c r="HW25" i="2"/>
  <c r="GY4" i="2"/>
  <c r="GB4" i="2"/>
  <c r="GP4" i="2" s="1"/>
  <c r="JM10" i="2"/>
  <c r="JL10" i="2"/>
  <c r="GN28" i="2"/>
  <c r="GA28" i="2"/>
  <c r="GA29" i="2" s="1"/>
  <c r="IT27" i="2"/>
  <c r="HT27" i="2"/>
  <c r="HB27" i="2"/>
  <c r="HC27" i="2" s="1"/>
  <c r="IT6" i="2"/>
  <c r="JB6" i="2" s="1"/>
  <c r="HB6" i="2"/>
  <c r="HC6" i="2" s="1"/>
  <c r="HT6" i="2"/>
  <c r="JM13" i="2"/>
  <c r="JL13" i="2"/>
  <c r="JM26" i="2"/>
  <c r="JL26" i="2"/>
  <c r="JJ6" i="2"/>
  <c r="IZ6" i="2"/>
  <c r="JA6" i="2" s="1"/>
  <c r="IT12" i="2"/>
  <c r="JB12" i="2" s="1"/>
  <c r="HB12" i="2"/>
  <c r="HC12" i="2" s="1"/>
  <c r="HT12" i="2"/>
  <c r="JJ12" i="2"/>
  <c r="IZ12" i="2"/>
  <c r="JA12" i="2" s="1"/>
  <c r="HW24" i="2"/>
  <c r="HV24" i="2"/>
  <c r="HW13" i="2"/>
  <c r="HV13" i="2"/>
  <c r="IT21" i="2"/>
  <c r="JB21" i="2" s="1"/>
  <c r="HT21" i="2"/>
  <c r="HB21" i="2"/>
  <c r="HC21" i="2" s="1"/>
  <c r="HW19" i="2"/>
  <c r="HV19" i="2"/>
  <c r="HW10" i="2"/>
  <c r="HV10" i="2"/>
  <c r="JJ5" i="2"/>
  <c r="IZ5" i="2"/>
  <c r="JA5" i="2" s="1"/>
  <c r="HV26" i="2"/>
  <c r="HW26" i="2"/>
  <c r="IZ9" i="2"/>
  <c r="JA9" i="2" s="1"/>
  <c r="JJ9" i="2"/>
  <c r="IT14" i="2"/>
  <c r="JB14" i="2" s="1"/>
  <c r="HT14" i="2"/>
  <c r="HB14" i="2"/>
  <c r="HC14" i="2" s="1"/>
  <c r="HT5" i="2"/>
  <c r="HB5" i="2"/>
  <c r="HC5" i="2" s="1"/>
  <c r="IT5" i="2"/>
  <c r="JB5" i="2" s="1"/>
  <c r="HW23" i="2"/>
  <c r="HV23" i="2"/>
  <c r="JM18" i="2"/>
  <c r="JL18" i="2"/>
  <c r="JM25" i="2"/>
  <c r="JL25" i="2"/>
  <c r="HC15" i="2"/>
  <c r="HT16" i="2"/>
  <c r="IT16" i="2"/>
  <c r="JB16" i="2" s="1"/>
  <c r="HB16" i="2"/>
  <c r="HC16" i="2" s="1"/>
  <c r="JM19" i="2"/>
  <c r="JL19" i="2"/>
  <c r="JJ22" i="2"/>
  <c r="IZ22" i="2"/>
  <c r="JA22" i="2" s="1"/>
  <c r="IY24" i="2"/>
  <c r="JB24" i="2" s="1"/>
  <c r="IZ11" i="2"/>
  <c r="JA11" i="2" s="1"/>
  <c r="JJ11" i="2"/>
  <c r="IZ14" i="2"/>
  <c r="JA14" i="2" s="1"/>
  <c r="JJ14" i="2"/>
  <c r="JJ21" i="2"/>
  <c r="IZ21" i="2"/>
  <c r="JA21" i="2" s="1"/>
  <c r="IT20" i="2"/>
  <c r="JB20" i="2" s="1"/>
  <c r="HT20" i="2"/>
  <c r="HB20" i="2"/>
  <c r="HC20" i="2" s="1"/>
  <c r="HW7" i="2"/>
  <c r="HV7" i="2"/>
  <c r="HW18" i="2"/>
  <c r="HV18" i="2"/>
  <c r="HW15" i="2"/>
  <c r="HV15" i="2"/>
  <c r="IT22" i="2"/>
  <c r="JB22" i="2" s="1"/>
  <c r="HT22" i="2"/>
  <c r="HB22" i="2"/>
  <c r="HC22" i="2" s="1"/>
  <c r="IY23" i="2"/>
  <c r="JB23" i="2" s="1"/>
  <c r="IZ20" i="2"/>
  <c r="JA20" i="2" s="1"/>
  <c r="JJ20" i="2"/>
  <c r="IY15" i="2"/>
  <c r="JB15" i="2" s="1"/>
  <c r="JT7" i="2" l="1"/>
  <c r="JW7" i="2" s="1"/>
  <c r="JY7" i="2"/>
  <c r="JL7" i="2"/>
  <c r="JM7" i="2"/>
  <c r="JT16" i="2"/>
  <c r="JW16" i="2" s="1"/>
  <c r="JY16" i="2"/>
  <c r="JT6" i="2"/>
  <c r="JW6" i="2" s="1"/>
  <c r="JY6" i="2"/>
  <c r="JT12" i="2"/>
  <c r="JW12" i="2" s="1"/>
  <c r="JY12" i="2"/>
  <c r="JT5" i="2"/>
  <c r="JW5" i="2" s="1"/>
  <c r="JY5" i="2"/>
  <c r="JT9" i="2"/>
  <c r="JW9" i="2" s="1"/>
  <c r="JY9" i="2"/>
  <c r="JT22" i="2"/>
  <c r="JW22" i="2" s="1"/>
  <c r="JY22" i="2"/>
  <c r="JT11" i="2"/>
  <c r="JW11" i="2" s="1"/>
  <c r="JY11" i="2"/>
  <c r="JT14" i="2"/>
  <c r="JW14" i="2" s="1"/>
  <c r="JY14" i="2"/>
  <c r="JT21" i="2"/>
  <c r="JW21" i="2" s="1"/>
  <c r="JY21" i="2"/>
  <c r="JT20" i="2"/>
  <c r="JW20" i="2" s="1"/>
  <c r="JY20" i="2"/>
  <c r="HT11" i="2"/>
  <c r="IT11" i="2"/>
  <c r="JB11" i="2" s="1"/>
  <c r="GY28" i="2"/>
  <c r="HA28" i="2" s="1"/>
  <c r="IR4" i="2"/>
  <c r="HI4" i="2"/>
  <c r="HA4" i="2"/>
  <c r="JJ23" i="2"/>
  <c r="IZ23" i="2"/>
  <c r="JA23" i="2" s="1"/>
  <c r="HW22" i="2"/>
  <c r="HV22" i="2"/>
  <c r="JM6" i="2"/>
  <c r="JL6" i="2"/>
  <c r="JM22" i="2"/>
  <c r="JL22" i="2"/>
  <c r="JM21" i="2"/>
  <c r="JL21" i="2"/>
  <c r="HW27" i="2"/>
  <c r="HV27" i="2"/>
  <c r="IY27" i="2"/>
  <c r="HW9" i="2"/>
  <c r="HV9" i="2"/>
  <c r="HW21" i="2"/>
  <c r="HV21" i="2"/>
  <c r="JM14" i="2"/>
  <c r="JL14" i="2"/>
  <c r="JM5" i="2"/>
  <c r="JL5" i="2"/>
  <c r="GP28" i="2"/>
  <c r="IZ15" i="2"/>
  <c r="JA15" i="2" s="1"/>
  <c r="JJ15" i="2"/>
  <c r="HW5" i="2"/>
  <c r="HV5" i="2"/>
  <c r="JM12" i="2"/>
  <c r="JL12" i="2"/>
  <c r="IY17" i="2"/>
  <c r="JB17" i="2" s="1"/>
  <c r="HW6" i="2"/>
  <c r="HV6" i="2"/>
  <c r="HW16" i="2"/>
  <c r="HV16" i="2"/>
  <c r="HW17" i="2"/>
  <c r="HV17" i="2"/>
  <c r="HW20" i="2"/>
  <c r="HV20" i="2"/>
  <c r="JM20" i="2"/>
  <c r="JL20" i="2"/>
  <c r="JM11" i="2"/>
  <c r="JL11" i="2"/>
  <c r="HK5" i="2"/>
  <c r="HW14" i="2"/>
  <c r="HV14" i="2"/>
  <c r="HL5" i="2"/>
  <c r="JM16" i="2"/>
  <c r="JL16" i="2"/>
  <c r="JJ24" i="2"/>
  <c r="IZ24" i="2"/>
  <c r="JA24" i="2" s="1"/>
  <c r="JM9" i="2"/>
  <c r="JL9" i="2"/>
  <c r="HW12" i="2"/>
  <c r="HV12" i="2"/>
  <c r="HW11" i="2" l="1"/>
  <c r="HV11" i="2"/>
  <c r="JT23" i="2"/>
  <c r="JY23" i="2"/>
  <c r="JT15" i="2"/>
  <c r="JW15" i="2" s="1"/>
  <c r="JY15" i="2"/>
  <c r="JT24" i="2"/>
  <c r="JY24" i="2"/>
  <c r="JM23" i="2"/>
  <c r="JL23" i="2"/>
  <c r="HB4" i="2"/>
  <c r="IT4" i="2"/>
  <c r="HT4" i="2"/>
  <c r="HT28" i="2" s="1"/>
  <c r="IF4" i="2" s="1"/>
  <c r="IG4" i="2" s="1"/>
  <c r="JM24" i="2"/>
  <c r="JL24" i="2"/>
  <c r="JM15" i="2"/>
  <c r="JL15" i="2"/>
  <c r="HI6" i="2"/>
  <c r="HJ5" i="2" s="1"/>
  <c r="JJ27" i="2"/>
  <c r="IZ27" i="2"/>
  <c r="JA27" i="2" s="1"/>
  <c r="JB27" i="2"/>
  <c r="IZ17" i="2"/>
  <c r="JA17" i="2" s="1"/>
  <c r="JJ17" i="2"/>
  <c r="IR28" i="2"/>
  <c r="IX4" i="2"/>
  <c r="IY4" i="2" s="1"/>
  <c r="JT27" i="2" l="1"/>
  <c r="JY27" i="2"/>
  <c r="JT17" i="2"/>
  <c r="JW17" i="2" s="1"/>
  <c r="JY17" i="2"/>
  <c r="HJ4" i="2"/>
  <c r="HJ6" i="2" s="1"/>
  <c r="JM27" i="2"/>
  <c r="JL27" i="2"/>
  <c r="IX28" i="2"/>
  <c r="IY28" i="2" s="1"/>
  <c r="JB4" i="2"/>
  <c r="JM17" i="2"/>
  <c r="JL17" i="2"/>
  <c r="HW4" i="2"/>
  <c r="HV4" i="2"/>
  <c r="IT28" i="2"/>
  <c r="HB28" i="2"/>
  <c r="HC4" i="2"/>
  <c r="HK4" i="2"/>
  <c r="HK6" i="2" s="1"/>
  <c r="JJ4" i="2" l="1"/>
  <c r="IZ4" i="2"/>
  <c r="IZ28" i="2" s="1"/>
  <c r="HC28" i="2"/>
  <c r="HL4" i="2"/>
  <c r="HL6" i="2" s="1"/>
  <c r="JJ28" i="2" l="1"/>
  <c r="JT4" i="2"/>
  <c r="JY4" i="2"/>
  <c r="KB5" i="2"/>
  <c r="KB6" i="2" s="1"/>
  <c r="JA4" i="2"/>
  <c r="JM4" i="2"/>
  <c r="JL4" i="2"/>
  <c r="JW4" i="2" l="1"/>
  <c r="JL28" i="2"/>
  <c r="JY28" i="2"/>
  <c r="JA28" i="2"/>
  <c r="JM28" i="2"/>
  <c r="JT28" i="2"/>
  <c r="JW28" i="2" s="1"/>
  <c r="HV28" i="2"/>
  <c r="HW28" i="2"/>
</calcChain>
</file>

<file path=xl/sharedStrings.xml><?xml version="1.0" encoding="utf-8"?>
<sst xmlns="http://schemas.openxmlformats.org/spreadsheetml/2006/main" count="8444" uniqueCount="452">
  <si>
    <t>Schedule 1: Adjustments Summary</t>
  </si>
  <si>
    <t>Schedule 1a: Net Income Summary</t>
  </si>
  <si>
    <t>Schedule 1b: Labour Efficiency and Cost Summary</t>
  </si>
  <si>
    <t>Schedule 1c: Previous Year Summary</t>
  </si>
  <si>
    <t>Schedule 2: Direct Labour</t>
  </si>
  <si>
    <t>Schedule 3: Collector Labour</t>
  </si>
  <si>
    <t>Schedule 4: Overhead Labour</t>
  </si>
  <si>
    <t>Schedule 5: Building Costs</t>
  </si>
  <si>
    <t>Schedule 6: Equipment Costs</t>
  </si>
  <si>
    <t>Schedule 7: Vehicle Costs</t>
  </si>
  <si>
    <t>Schedule 8: Overhead Costs</t>
  </si>
  <si>
    <t>Schedule 9: Miscellaneous Revenue</t>
  </si>
  <si>
    <t>Schedule 10: Revenue</t>
  </si>
  <si>
    <t>Schedule 10a: Calculation of Ratios</t>
  </si>
  <si>
    <t>Schedule 10b: Revenues</t>
  </si>
  <si>
    <t>Schedule 10c: Total System Costs</t>
  </si>
  <si>
    <t>Schedule 11a: Calculation of Ratios</t>
  </si>
  <si>
    <t>Schedule 11b: Revenues</t>
  </si>
  <si>
    <t>Schedule 11c: Target Year Costs</t>
  </si>
  <si>
    <t>Schedule 11d: Net Income Calculations</t>
  </si>
  <si>
    <t>Schedule 11e: Total Return Calculation</t>
  </si>
  <si>
    <t xml:space="preserve"> Schedule 12: Target Year Revenue Requirement</t>
  </si>
  <si>
    <t>Schedule 13: Comparison to Previous HCR</t>
  </si>
  <si>
    <t>2023 Fiscal Year As Accepted</t>
  </si>
  <si>
    <t>2023 Fiscal Year As Adjusted</t>
  </si>
  <si>
    <t>Total System</t>
  </si>
  <si>
    <t>Target System (Current HC)</t>
  </si>
  <si>
    <t>Total Change</t>
  </si>
  <si>
    <t>2004 Fiscal Year As Reported</t>
  </si>
  <si>
    <t>2005 Fiscal Year As Reported</t>
  </si>
  <si>
    <t>2006 Fiscal Year As Reported</t>
  </si>
  <si>
    <t>2007 Fiscal Year As Reported</t>
  </si>
  <si>
    <t>2008 Fiscal Year As Reported</t>
  </si>
  <si>
    <t>2009/10 Fiscal Year As Reported</t>
  </si>
  <si>
    <t>2012/13 Fiscal Year As Reported</t>
  </si>
  <si>
    <t>2015 Fiscal Year As Reported</t>
  </si>
  <si>
    <t>2020 Fiscal Year As Accepted</t>
  </si>
  <si>
    <t>2021 Fiscal Year As Accepted</t>
  </si>
  <si>
    <t>2022 Fiscal Year As Accepted</t>
  </si>
  <si>
    <t>Per Container or Hour</t>
  </si>
  <si>
    <t>2023 Fiscal Year As Adjusted 
(After Collections Cost Cap)</t>
  </si>
  <si>
    <t>Miscellaneous Revenue</t>
  </si>
  <si>
    <t>Deposits</t>
  </si>
  <si>
    <t>Handling Commissions</t>
  </si>
  <si>
    <t>Depot Viability Handling Commissions</t>
  </si>
  <si>
    <t>Total Revenue</t>
  </si>
  <si>
    <t>Direct Labour</t>
  </si>
  <si>
    <t>Collector Labour</t>
  </si>
  <si>
    <t>Overhead Labour</t>
  </si>
  <si>
    <t>Building</t>
  </si>
  <si>
    <t>Vehicle</t>
  </si>
  <si>
    <t>Fuel</t>
  </si>
  <si>
    <t>Equipment</t>
  </si>
  <si>
    <t>Overhead</t>
  </si>
  <si>
    <t>Summary</t>
  </si>
  <si>
    <t>Base Handling Commissions</t>
  </si>
  <si>
    <t>Depot Viability HC</t>
  </si>
  <si>
    <t>Contract Labour</t>
  </si>
  <si>
    <t>Total Operating Expense</t>
  </si>
  <si>
    <t>Total Operating Expenses</t>
  </si>
  <si>
    <t>Net Income Before Tax</t>
  </si>
  <si>
    <t>Cost</t>
  </si>
  <si>
    <t>Cost per Container (¢)</t>
  </si>
  <si>
    <t xml:space="preserve">Difference (Accepted to Adjusted) </t>
  </si>
  <si>
    <t>Difference (Adjusted to Total System)</t>
  </si>
  <si>
    <t>Difference (Total System to Target System)</t>
  </si>
  <si>
    <t>Difference (Accepted to Target System)</t>
  </si>
  <si>
    <t xml:space="preserve">% Change (Accepted to Target System) </t>
  </si>
  <si>
    <t>Small</t>
  </si>
  <si>
    <t>Medium</t>
  </si>
  <si>
    <t>Large</t>
  </si>
  <si>
    <t>Total</t>
  </si>
  <si>
    <t xml:space="preserve">Cost per Container (¢) </t>
  </si>
  <si>
    <t>Percent Change</t>
  </si>
  <si>
    <t>% Change</t>
  </si>
  <si>
    <t>% Change From 2004</t>
  </si>
  <si>
    <t>Ave. Annual</t>
  </si>
  <si>
    <t>Hours</t>
  </si>
  <si>
    <t>Salary &amp; Wages</t>
  </si>
  <si>
    <t>Benefits</t>
  </si>
  <si>
    <t>Size Class</t>
  </si>
  <si>
    <t xml:space="preserve">Hours </t>
  </si>
  <si>
    <t>$</t>
  </si>
  <si>
    <t>$ 
(Less Collection Costs Cap)</t>
  </si>
  <si>
    <t>Business Vehicle Cost</t>
  </si>
  <si>
    <t>Offsite Collections Vehicle Cost*</t>
  </si>
  <si>
    <t>Total Vehicle Cost*</t>
  </si>
  <si>
    <t>Total (Less Offsite Collections Cap)</t>
  </si>
  <si>
    <t xml:space="preserve">Total </t>
  </si>
  <si>
    <t>Volume Cluster</t>
  </si>
  <si>
    <t>Depots in Study System</t>
  </si>
  <si>
    <t>Depots In Total System</t>
  </si>
  <si>
    <t>Study System Depots, FY2023 Volume</t>
  </si>
  <si>
    <t>Total System Depots 
Calendar Year Volume</t>
  </si>
  <si>
    <t>Depot Ratio</t>
  </si>
  <si>
    <t>Volume Ratio</t>
  </si>
  <si>
    <t>Percent Small</t>
  </si>
  <si>
    <t>Percent Medium</t>
  </si>
  <si>
    <t>Percent Large</t>
  </si>
  <si>
    <t>Study System</t>
  </si>
  <si>
    <t>Total System 
(b * c)</t>
  </si>
  <si>
    <t xml:space="preserve">Total System </t>
  </si>
  <si>
    <t>Study System 
(c + g + i)</t>
  </si>
  <si>
    <t>Total System 
(d + h + j)</t>
  </si>
  <si>
    <t>Total System 
(c x d)</t>
  </si>
  <si>
    <t>Total System 
(c x f)</t>
  </si>
  <si>
    <t>Total System 
(b x h)</t>
  </si>
  <si>
    <t>Total System (Calculated)</t>
  </si>
  <si>
    <t>Total System 
(c x l)</t>
  </si>
  <si>
    <t>Total System 
(c x o)</t>
  </si>
  <si>
    <t>Total System 
(c x q)</t>
  </si>
  <si>
    <t>Total System 
(c x w)</t>
  </si>
  <si>
    <t>Study System Total Operating Cost
*</t>
  </si>
  <si>
    <t>Total System Total Operating Cost
**</t>
  </si>
  <si>
    <t>Total System Cost 
(¢ / container)</t>
  </si>
  <si>
    <t>Total System Depots</t>
  </si>
  <si>
    <t>Target Year Depots</t>
  </si>
  <si>
    <t>Total System  Volume</t>
  </si>
  <si>
    <t>Target Year Volume</t>
  </si>
  <si>
    <t>Total System Ratio</t>
  </si>
  <si>
    <t>FY Quarter</t>
  </si>
  <si>
    <t>Target Year</t>
  </si>
  <si>
    <t>Total System 
(d +  h + j)</t>
  </si>
  <si>
    <t>Target System 
(e + i + k)</t>
  </si>
  <si>
    <t>Study System Volume Cluster</t>
  </si>
  <si>
    <t>FY 2023 Index (2002 = 100.0)</t>
  </si>
  <si>
    <t>Item</t>
  </si>
  <si>
    <t>Amount</t>
  </si>
  <si>
    <t>Existing Handling Commissions - Target Year Forecast</t>
  </si>
  <si>
    <t>Proposed Handling Commissions - Target Year Forecast</t>
  </si>
  <si>
    <t>AUR 2023
Schedule 12 Column A</t>
  </si>
  <si>
    <t>Current Annual Update Schedule 12 Column A</t>
  </si>
  <si>
    <t>Difference</t>
  </si>
  <si>
    <t>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</si>
  <si>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</si>
  <si>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</si>
  <si>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</si>
  <si>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</si>
  <si>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</si>
  <si>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</si>
  <si>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</si>
  <si>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</si>
  <si>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</si>
  <si>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</si>
  <si>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</si>
  <si>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</si>
  <si>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</si>
  <si>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(c)</t>
  </si>
  <si>
    <t>(n)</t>
  </si>
  <si>
    <t>(o)</t>
  </si>
  <si>
    <t>(p)</t>
  </si>
  <si>
    <t>(q)</t>
  </si>
  <si>
    <t>(r)</t>
  </si>
  <si>
    <t>(s)</t>
  </si>
  <si>
    <t>(t)</t>
  </si>
  <si>
    <t>(u)</t>
  </si>
  <si>
    <t xml:space="preserve"> No.</t>
  </si>
  <si>
    <t xml:space="preserve">(r) </t>
  </si>
  <si>
    <t>(v)</t>
  </si>
  <si>
    <t xml:space="preserve">(c) </t>
  </si>
  <si>
    <t xml:space="preserve">(e) </t>
  </si>
  <si>
    <t xml:space="preserve">(s) </t>
  </si>
  <si>
    <t>($)</t>
  </si>
  <si>
    <t>(%)</t>
  </si>
  <si>
    <t>Revenue</t>
  </si>
  <si>
    <t>Sq. Ft.</t>
  </si>
  <si>
    <t>CCA</t>
  </si>
  <si>
    <t>Overhead - Office</t>
  </si>
  <si>
    <t>Cardboard Sales</t>
  </si>
  <si>
    <t>Volume</t>
  </si>
  <si>
    <t>Target Year Indexed Rate</t>
  </si>
  <si>
    <t>Cost of Goods Sold Calculation</t>
  </si>
  <si>
    <t>Net Income before Tax</t>
  </si>
  <si>
    <t>Building CCA</t>
  </si>
  <si>
    <t>Lease Payments</t>
  </si>
  <si>
    <t>Office Expenses</t>
  </si>
  <si>
    <t>Pick-up Fees</t>
  </si>
  <si>
    <t>Operating Expenses</t>
  </si>
  <si>
    <t>Less Purchases</t>
  </si>
  <si>
    <t>¢ per container</t>
  </si>
  <si>
    <t>S/Container</t>
  </si>
  <si>
    <t>Use Costs incl. Mortgage Interest</t>
  </si>
  <si>
    <t>Operating Costs</t>
  </si>
  <si>
    <t>Shop Supplies</t>
  </si>
  <si>
    <t>Other Recycling</t>
  </si>
  <si>
    <t>Less: Purchases</t>
  </si>
  <si>
    <t>Base Handling Commission</t>
  </si>
  <si>
    <t>$/Hour</t>
  </si>
  <si>
    <t>Gross Margin (HC)</t>
  </si>
  <si>
    <t>Utilities</t>
  </si>
  <si>
    <t>Telephone</t>
  </si>
  <si>
    <t>Wine Bottle Sales</t>
  </si>
  <si>
    <t>Gross Margin</t>
  </si>
  <si>
    <t>Cost of Goods Sold (#2+#3)</t>
  </si>
  <si>
    <t>Base Handling Commissions (HC)</t>
  </si>
  <si>
    <t>Misc Revenue</t>
  </si>
  <si>
    <t>Deemed Lease Cost</t>
  </si>
  <si>
    <t>* Less Offsite Collections Cost Cap</t>
  </si>
  <si>
    <t>Charitable Donations</t>
  </si>
  <si>
    <t>Value Add Fee (VAF)</t>
  </si>
  <si>
    <t>Pre-Tax Margin Calculation</t>
  </si>
  <si>
    <t>Total Margin</t>
  </si>
  <si>
    <t>Deemed Usage Cost</t>
  </si>
  <si>
    <t>Internet</t>
  </si>
  <si>
    <t>Other Revenue</t>
  </si>
  <si>
    <t>Return Margin (Combined)</t>
  </si>
  <si>
    <t>Net Revenue</t>
  </si>
  <si>
    <t>Expenses</t>
  </si>
  <si>
    <t>Bank Charges</t>
  </si>
  <si>
    <t>Revenues Required (#4/(1-#6))</t>
  </si>
  <si>
    <t>Professional Fees (Accounting/Legal)</t>
  </si>
  <si>
    <t>Pre-Tax Margin (#7-#4)</t>
  </si>
  <si>
    <t>Contract / Collector Labour</t>
  </si>
  <si>
    <t>Training Courses  (3rd Party)</t>
  </si>
  <si>
    <t>Marketing and Promotions</t>
  </si>
  <si>
    <t>Advertising</t>
  </si>
  <si>
    <t>Equipment and Vehicles</t>
  </si>
  <si>
    <t>Other Insurance (non-property)</t>
  </si>
  <si>
    <t>Municipal Taxes &amp; License Fees</t>
  </si>
  <si>
    <t>Other Office costs</t>
  </si>
  <si>
    <t>Earnings Before Taxes</t>
  </si>
  <si>
    <t>Sub Total</t>
  </si>
  <si>
    <t>Total Expenses</t>
  </si>
  <si>
    <t>System Data</t>
  </si>
  <si>
    <t>Overhead - Fees</t>
  </si>
  <si>
    <t>Difference (As Accepted Data to Target System Data)</t>
  </si>
  <si>
    <t>Total Container Volume</t>
  </si>
  <si>
    <t>BCMB Fines / Levies</t>
  </si>
  <si>
    <t xml:space="preserve">System Data </t>
  </si>
  <si>
    <t xml:space="preserve">Percent Change (As Accepted Data to Target System Data) </t>
  </si>
  <si>
    <t>Number of Depots</t>
  </si>
  <si>
    <t>ABDA Fees</t>
  </si>
  <si>
    <t>Total Return</t>
  </si>
  <si>
    <t>Pre-Tax Return</t>
  </si>
  <si>
    <t xml:space="preserve">Number of Depots </t>
  </si>
  <si>
    <t>Overhead - Other</t>
  </si>
  <si>
    <t>Revenue Requirement</t>
  </si>
  <si>
    <t>Non-labour collection costs</t>
  </si>
  <si>
    <t>Q3</t>
  </si>
  <si>
    <t>Removal of Interest and Dividend Revenues per HC Agreement</t>
  </si>
  <si>
    <t>Deposit incentives</t>
  </si>
  <si>
    <t>Total System as a % of Study System</t>
  </si>
  <si>
    <t>Target Year as a % of Total System</t>
  </si>
  <si>
    <t xml:space="preserve">*note: revenue and expenses exclude deposits as these are a net zero item. </t>
  </si>
  <si>
    <t>Addition of Direct Labour costs per HC Agreement</t>
  </si>
  <si>
    <t>Goodwill - Current Year CCA</t>
  </si>
  <si>
    <t>* (d + f + h + j + l + n + p + r)</t>
  </si>
  <si>
    <t>Revised Revenue Requirement</t>
  </si>
  <si>
    <t>Shrinkage</t>
  </si>
  <si>
    <t>** (e + g + i + k + m + o + q + s)</t>
  </si>
  <si>
    <t>DVHC Revenues</t>
  </si>
  <si>
    <t>Other costs</t>
  </si>
  <si>
    <t>Handling Commission Revenues</t>
  </si>
  <si>
    <t>Total Revenue at Current Rates</t>
  </si>
  <si>
    <t>Overhead - Table 9</t>
  </si>
  <si>
    <t>Proposed Rate Increase</t>
  </si>
  <si>
    <t>Table 9 Collections costs</t>
  </si>
  <si>
    <t>Table 9 Cash &amp; Shrinkage</t>
  </si>
  <si>
    <t>Schedule 1: Revenue Requirement Summary</t>
  </si>
  <si>
    <t>Schedule 2: Volume and Pallet Allocators</t>
  </si>
  <si>
    <t xml:space="preserve">Schedule 3: Business Cost Allocator </t>
  </si>
  <si>
    <t>Schedule 4: Time and Motion Expert Seconds per Container</t>
  </si>
  <si>
    <t>Schedule 5: Direct and Collector Target Year Hours and Cost</t>
  </si>
  <si>
    <t>Schedule 6: Direct and Collector Labour Cost</t>
  </si>
  <si>
    <t>Schedule 7: Overhead Labour Allocators</t>
  </si>
  <si>
    <t xml:space="preserve">Schedule 8: Overhead Labour </t>
  </si>
  <si>
    <t>Schedule 9: Building Allocators</t>
  </si>
  <si>
    <t>Schedule 10: Building</t>
  </si>
  <si>
    <t>Schedule 11: Equipment Allocators</t>
  </si>
  <si>
    <t xml:space="preserve">Schedule 12: Equipment </t>
  </si>
  <si>
    <t>Schedule 13: Vehicle</t>
  </si>
  <si>
    <t>Schedule 14: Overhead Allocators</t>
  </si>
  <si>
    <t>Schedule 15: Overhead</t>
  </si>
  <si>
    <t>Schedule 16: Return and Miscellaneous Summary</t>
  </si>
  <si>
    <t>Schedule 17: Return</t>
  </si>
  <si>
    <t>Schedule 18: Cost Per Container Stream Summary</t>
  </si>
  <si>
    <t>Schedule 19: Cost per Container Summary</t>
  </si>
  <si>
    <t>Schedule 20: Revenue Surplus / Shortfall</t>
  </si>
  <si>
    <t>Schedule 21: Revenue Surplus / Shortfall by Manufacturer</t>
  </si>
  <si>
    <t>Schedule 22: Pre-Depot Viability Handling Commission Change</t>
  </si>
  <si>
    <t>Schedule 23: Depot Viability Handling Commissions Summary</t>
  </si>
  <si>
    <t>Schedule 24: Depot Viability Handling Commissions by Container Stream</t>
  </si>
  <si>
    <t>Schedule 25: Handling Commission Change</t>
  </si>
  <si>
    <t>Target Year Revenue Requirement</t>
  </si>
  <si>
    <t>Percent of Total Cost</t>
  </si>
  <si>
    <r>
      <t xml:space="preserve">Unit Cost </t>
    </r>
    <r>
      <rPr>
        <b/>
        <i/>
        <sz val="11"/>
        <color theme="0"/>
        <rFont val="Segoe UI Semibold"/>
        <family val="2"/>
      </rPr>
      <t>(¢/container)</t>
    </r>
  </si>
  <si>
    <t>Forecast Group</t>
  </si>
  <si>
    <t>Container Stream</t>
  </si>
  <si>
    <t>Target Year Volume Forecast
Volume</t>
  </si>
  <si>
    <t>Target Year Volume Allocator</t>
  </si>
  <si>
    <t>Containers per  Pallet</t>
  </si>
  <si>
    <t>Total Pallets</t>
  </si>
  <si>
    <t>Pallet Allocator</t>
  </si>
  <si>
    <t>Manufacturer</t>
  </si>
  <si>
    <t xml:space="preserve">Business Costs </t>
  </si>
  <si>
    <t>Business Cost Allocator</t>
  </si>
  <si>
    <t>Total Time (s)</t>
  </si>
  <si>
    <t>Time Per Container</t>
  </si>
  <si>
    <t>Target Year Forecast</t>
  </si>
  <si>
    <t>Direct and Collector Labour Hours</t>
  </si>
  <si>
    <t>Target Year Direct and Collector Labour Hours</t>
  </si>
  <si>
    <t>Loaded Hourly Rate ($/Hour)</t>
  </si>
  <si>
    <r>
      <t xml:space="preserve">Total Direct &amp; Collector Labour
 Cost
</t>
    </r>
    <r>
      <rPr>
        <b/>
        <i/>
        <sz val="11"/>
        <color theme="0"/>
        <rFont val="Segoe UI Semibold"/>
        <family val="2"/>
      </rPr>
      <t>(</t>
    </r>
    <r>
      <rPr>
        <i/>
        <sz val="11"/>
        <color theme="0"/>
        <rFont val="Segoe UI Semibold"/>
        <family val="2"/>
      </rPr>
      <t>$</t>
    </r>
    <r>
      <rPr>
        <b/>
        <i/>
        <sz val="11"/>
        <color theme="0"/>
        <rFont val="Segoe UI Semibold"/>
        <family val="2"/>
      </rPr>
      <t>)</t>
    </r>
  </si>
  <si>
    <t>Direct and Collector Labour Allocator</t>
  </si>
  <si>
    <r>
      <t xml:space="preserve">Unit Cost </t>
    </r>
    <r>
      <rPr>
        <b/>
        <i/>
        <sz val="11"/>
        <color theme="0"/>
        <rFont val="Aptos Narrow"/>
        <family val="2"/>
        <scheme val="minor"/>
      </rPr>
      <t>(¢/container)</t>
    </r>
  </si>
  <si>
    <t>Cost Classification</t>
  </si>
  <si>
    <t>% of Total</t>
  </si>
  <si>
    <t>Total Overhead Cost</t>
  </si>
  <si>
    <t>Direct and Collector Labour Cost</t>
  </si>
  <si>
    <t>Volume Cost</t>
  </si>
  <si>
    <r>
      <t xml:space="preserve">Overhead Labour Cost 
</t>
    </r>
    <r>
      <rPr>
        <b/>
        <i/>
        <sz val="11"/>
        <color theme="0"/>
        <rFont val="Segoe UI Semibold"/>
        <family val="2"/>
      </rPr>
      <t>($)</t>
    </r>
  </si>
  <si>
    <t>%
Reported</t>
  </si>
  <si>
    <t>Cost
($)</t>
  </si>
  <si>
    <t>Volume Classification Factor</t>
  </si>
  <si>
    <t>Pallet Classification Factor</t>
  </si>
  <si>
    <t>Volume Classification ($)</t>
  </si>
  <si>
    <t>Pallet Classification ($)</t>
  </si>
  <si>
    <t>Volume Allocator</t>
  </si>
  <si>
    <r>
      <t xml:space="preserve">Volume
Cost 
</t>
    </r>
    <r>
      <rPr>
        <b/>
        <i/>
        <sz val="11"/>
        <color theme="0"/>
        <rFont val="Segoe UI Semibold"/>
        <family val="2"/>
      </rPr>
      <t>($)</t>
    </r>
  </si>
  <si>
    <t xml:space="preserve"> Pallet Allocator</t>
  </si>
  <si>
    <r>
      <t xml:space="preserve">Total 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</si>
  <si>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Building Cost
</t>
    </r>
    <r>
      <rPr>
        <b/>
        <i/>
        <sz val="11"/>
        <color theme="0"/>
        <rFont val="Segoe UI Semibold"/>
        <family val="2"/>
      </rPr>
      <t>($)</t>
    </r>
  </si>
  <si>
    <t>Building Allocator</t>
  </si>
  <si>
    <t>Equipment Cost Classification</t>
  </si>
  <si>
    <t>Total Equipment Cost</t>
  </si>
  <si>
    <r>
      <t xml:space="preserve">Building Cost
</t>
    </r>
    <r>
      <rPr>
        <b/>
        <i/>
        <sz val="11"/>
        <color theme="0"/>
        <rFont val="Segoe UI Semibold"/>
        <family val="2"/>
      </rPr>
      <t>($)</t>
    </r>
  </si>
  <si>
    <r>
      <t xml:space="preserve">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</si>
  <si>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
</t>
    </r>
    <r>
      <rPr>
        <b/>
        <i/>
        <sz val="11"/>
        <color theme="0"/>
        <rFont val="Segoe UI Semibold"/>
        <family val="2"/>
      </rPr>
      <t>($)</t>
    </r>
  </si>
  <si>
    <r>
      <t xml:space="preserve">Total Equipment Cost
</t>
    </r>
    <r>
      <rPr>
        <b/>
        <i/>
        <sz val="11"/>
        <color theme="0"/>
        <rFont val="Segoe UI Semibold"/>
        <family val="2"/>
      </rPr>
      <t>($)</t>
    </r>
  </si>
  <si>
    <t>% of
Total</t>
  </si>
  <si>
    <r>
      <t xml:space="preserve">Total Vehicle Cost
</t>
    </r>
    <r>
      <rPr>
        <b/>
        <i/>
        <sz val="11"/>
        <color theme="0"/>
        <rFont val="Segoe UI Semibold"/>
        <family val="2"/>
      </rPr>
      <t>($)</t>
    </r>
  </si>
  <si>
    <t>As Adjusted Cost</t>
  </si>
  <si>
    <r>
      <t xml:space="preserve">Business Cost 
</t>
    </r>
    <r>
      <rPr>
        <b/>
        <i/>
        <sz val="11"/>
        <color theme="0"/>
        <rFont val="Segoe UI Semibold"/>
        <family val="2"/>
      </rPr>
      <t>($)</t>
    </r>
  </si>
  <si>
    <r>
      <t xml:space="preserve">Building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</si>
  <si>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</si>
  <si>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Overhead Cost 
</t>
    </r>
    <r>
      <rPr>
        <b/>
        <i/>
        <sz val="11"/>
        <color theme="0"/>
        <rFont val="Segoe UI Semibold"/>
        <family val="2"/>
      </rPr>
      <t>($)</t>
    </r>
  </si>
  <si>
    <t>Return and Miscellaneous Revenue</t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</si>
  <si>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($)</t>
    </r>
  </si>
  <si>
    <t>Direct and Collector Labour</t>
  </si>
  <si>
    <t>Buildings</t>
  </si>
  <si>
    <t>Forecast Group Revenue Requirement</t>
  </si>
  <si>
    <r>
      <t xml:space="preserve">Direct and Collector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</si>
  <si>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</si>
  <si>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Building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</si>
  <si>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Equipment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</si>
  <si>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Vehicle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</si>
  <si>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</si>
  <si>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(¢/container)</t>
    </r>
  </si>
  <si>
    <r>
      <t>Variable Rate (</t>
    </r>
    <r>
      <rPr>
        <b/>
        <i/>
        <sz val="11"/>
        <color theme="0"/>
        <rFont val="Segoe UI Semibold"/>
        <family val="2"/>
      </rPr>
      <t>¢/container</t>
    </r>
    <r>
      <rPr>
        <b/>
        <sz val="11"/>
        <color theme="0"/>
        <rFont val="Segoe UI Semibold"/>
        <family val="2"/>
      </rPr>
      <t>)</t>
    </r>
  </si>
  <si>
    <t>Revenue at
Variable
Rates</t>
  </si>
  <si>
    <r>
      <t xml:space="preserve">Revenue Surplus / Shortfall
</t>
    </r>
    <r>
      <rPr>
        <b/>
        <i/>
        <sz val="11"/>
        <color theme="0"/>
        <rFont val="Segoe UI Semibold"/>
        <family val="2"/>
      </rPr>
      <t>($)</t>
    </r>
  </si>
  <si>
    <r>
      <t xml:space="preserve">Pre-Depot Viability 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</si>
  <si>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t>Change in ¢ per container</t>
  </si>
  <si>
    <r>
      <t xml:space="preserve">Deposits 
</t>
    </r>
    <r>
      <rPr>
        <b/>
        <i/>
        <sz val="11"/>
        <color theme="0"/>
        <rFont val="Segoe UI Semibold"/>
        <family val="2"/>
      </rPr>
      <t>(¢/container)</t>
    </r>
  </si>
  <si>
    <t>2023 CY Volume</t>
  </si>
  <si>
    <t>Target Yr Vol</t>
  </si>
  <si>
    <t>% increase in vol</t>
  </si>
  <si>
    <t>1.5-cent eligible volume</t>
  </si>
  <si>
    <r>
      <t xml:space="preserve">Avg HC per Container
</t>
    </r>
    <r>
      <rPr>
        <i/>
        <sz val="11"/>
        <color theme="0"/>
        <rFont val="Segoe UI Semibold"/>
        <family val="2"/>
      </rPr>
      <t>(cents)</t>
    </r>
  </si>
  <si>
    <r>
      <t xml:space="preserve">DVHC Addition </t>
    </r>
    <r>
      <rPr>
        <i/>
        <sz val="11"/>
        <color theme="0"/>
        <rFont val="Segoe UI Semibold"/>
        <family val="2"/>
      </rPr>
      <t>($)</t>
    </r>
  </si>
  <si>
    <t>Target Year 
Depot Viability HC-Eligible Volume</t>
  </si>
  <si>
    <t>Eligible Portion</t>
  </si>
  <si>
    <t>Refillable Ratio</t>
  </si>
  <si>
    <r>
      <t xml:space="preserve">Proposed Target Year Handling Commissions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</si>
  <si>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Target Year Volume, With Depot Viability HC
</t>
    </r>
    <r>
      <rPr>
        <b/>
        <i/>
        <sz val="11"/>
        <color theme="0"/>
        <rFont val="Segoe UI Semibold"/>
        <family val="2"/>
      </rPr>
      <t>(14.4% of total)</t>
    </r>
  </si>
  <si>
    <r>
      <t xml:space="preserve">Target Year Volume, Without Depot Viability HC
</t>
    </r>
    <r>
      <rPr>
        <b/>
        <i/>
        <sz val="11"/>
        <color theme="0"/>
        <rFont val="Segoe UI Semibold"/>
        <family val="2"/>
      </rPr>
      <t>(85.6% of total)</t>
    </r>
  </si>
  <si>
    <r>
      <t>Revenue,                                 1.5-cent increase only
(14.4% of total)</t>
    </r>
    <r>
      <rPr>
        <b/>
        <i/>
        <sz val="11"/>
        <color theme="0"/>
        <rFont val="Segoe UI Semibold"/>
        <family val="2"/>
      </rPr>
      <t xml:space="preserve">
(1.5 cents * (f))</t>
    </r>
  </si>
  <si>
    <r>
      <t xml:space="preserve">Remaining Forecast Group Revenue Requirement
</t>
    </r>
    <r>
      <rPr>
        <b/>
        <i/>
        <sz val="11"/>
        <color theme="0"/>
        <rFont val="Segoe UI Semibold"/>
        <family val="2"/>
      </rPr>
      <t>((c) - (h))</t>
    </r>
  </si>
  <si>
    <r>
      <t xml:space="preserve">New Base Proposed Target Year HC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</si>
  <si>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New HC for first 1.5M containers
</t>
    </r>
    <r>
      <rPr>
        <b/>
        <i/>
        <sz val="11"/>
        <color theme="0"/>
        <rFont val="Segoe UI Semibold"/>
        <family val="2"/>
      </rPr>
      <t>(¢/container)</t>
    </r>
  </si>
  <si>
    <t>Forecast Group Revenue Requirement (Check)</t>
  </si>
  <si>
    <t>Decrease in Base HC</t>
  </si>
  <si>
    <r>
      <t xml:space="preserve">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</si>
  <si>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t xml:space="preserve">(f) </t>
  </si>
  <si>
    <t xml:space="preserve">(h) </t>
  </si>
  <si>
    <t>Sorting / Loading / Cardboard</t>
  </si>
  <si>
    <t>Target Year Direct &amp; Collector Labour Costs</t>
  </si>
  <si>
    <t>Office</t>
  </si>
  <si>
    <t>Business</t>
  </si>
  <si>
    <t>ABCRC</t>
  </si>
  <si>
    <t>Aluminum 0 - 1 Litre</t>
  </si>
  <si>
    <t>Target Year Direct &amp; Collector Labour Hours</t>
  </si>
  <si>
    <t>Customer Interface</t>
  </si>
  <si>
    <t>Less:  Miscellaneous Revenue</t>
  </si>
  <si>
    <t>BDL</t>
  </si>
  <si>
    <t>Bag in Box Over 1 Litre</t>
  </si>
  <si>
    <t>Average Target Year Direct &amp; Collector Labour Rate</t>
  </si>
  <si>
    <t>Loading</t>
  </si>
  <si>
    <t>System Return</t>
  </si>
  <si>
    <t>Bi-Metal 0 - 1 Litre</t>
  </si>
  <si>
    <t>Average Time per container (seconds)</t>
  </si>
  <si>
    <t>Sorting</t>
  </si>
  <si>
    <t>Bi-Metal Over 1 Litre</t>
  </si>
  <si>
    <t>Storage</t>
  </si>
  <si>
    <t>Specialty Containers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</si>
  <si>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</si>
  <si>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</si>
  <si>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</si>
  <si>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</si>
  <si>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</si>
  <si>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</si>
  <si>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</si>
  <si>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</si>
  <si>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</si>
  <si>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</si>
  <si>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</si>
  <si>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</si>
  <si>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</si>
  <si>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</si>
  <si>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</si>
  <si>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Steam Whistle Refillable</t>
  </si>
  <si>
    <t>Tetra Brik 0 - 1 Litre</t>
  </si>
  <si>
    <t>Tetra Brik Over 1 Litre</t>
  </si>
  <si>
    <t>Moosehead</t>
  </si>
  <si>
    <t>Vlookup Reference</t>
  </si>
  <si>
    <t>Column #</t>
  </si>
  <si>
    <t>See "Schedule 8" for the Total Volume Allocators</t>
  </si>
  <si>
    <t xml:space="preserve">See "Schedule 8" for the Total Volume Allocators &amp; Total Container Pallets Allocators </t>
  </si>
  <si>
    <t xml:space="preserve">See "Schedule 5" for the Buildings Allocators and "Schedule 8" for the Total Volume Allocators &amp; Total Container Pallets Allocators </t>
  </si>
  <si>
    <t>See "Schedule 7.0" for the Total Cost Allocators, "Schedule 5" for the Buildings Allocators and "Schedule 8" for the Total Volume Allocators</t>
  </si>
  <si>
    <t>Vlookup Ref</t>
  </si>
  <si>
    <t>Column Number</t>
  </si>
  <si>
    <t>Specialty containers HC</t>
  </si>
  <si>
    <r>
      <t xml:space="preserve">Target Year 
</t>
    </r>
    <r>
      <rPr>
        <b/>
        <sz val="9"/>
        <color theme="0"/>
        <rFont val="Segoe UI Semibold"/>
        <family val="2"/>
      </rPr>
      <t>(e + g + i + k + m + o + q + s))</t>
    </r>
  </si>
  <si>
    <t>Q4</t>
  </si>
  <si>
    <t>Q2</t>
  </si>
  <si>
    <t>verify these calcs, why hardcoded?</t>
  </si>
  <si>
    <t>Verify</t>
  </si>
  <si>
    <r>
      <t xml:space="preserve">Current Pre-Depot Viability Handling Commissions 
</t>
    </r>
    <r>
      <rPr>
        <b/>
        <i/>
        <sz val="11"/>
        <rFont val="Segoe UI Semibold"/>
        <family val="2"/>
      </rPr>
      <t>(¢/container)</t>
    </r>
  </si>
  <si>
    <r>
      <t xml:space="preserve">Current Handling Commissions 
</t>
    </r>
    <r>
      <rPr>
        <b/>
        <i/>
        <sz val="11"/>
        <rFont val="Segoe UI Semibold"/>
        <family val="2"/>
      </rPr>
      <t>(¢/container)</t>
    </r>
  </si>
  <si>
    <t>matches</t>
  </si>
  <si>
    <t>does not match</t>
  </si>
  <si>
    <t>Sched 11d</t>
  </si>
  <si>
    <t>updated total volume to go to phase 2</t>
  </si>
  <si>
    <t>Target Year Handling Commissions 
(¢/container)</t>
  </si>
  <si>
    <t>is formula linked, hurray!</t>
  </si>
  <si>
    <t>Actuals - HCs</t>
  </si>
  <si>
    <t>HCs</t>
  </si>
  <si>
    <t xml:space="preserve">Actuals </t>
  </si>
  <si>
    <t>Calculated</t>
  </si>
  <si>
    <t>Fixed</t>
  </si>
  <si>
    <t>Change in Vol</t>
  </si>
  <si>
    <t>Lost HCs</t>
  </si>
  <si>
    <t>Lower HCs</t>
  </si>
  <si>
    <t>Net Loss</t>
  </si>
  <si>
    <t>RR requirement change</t>
  </si>
  <si>
    <t>c</t>
  </si>
  <si>
    <t>Actuals</t>
  </si>
  <si>
    <t>Change from Actuals</t>
  </si>
  <si>
    <t>Actual volumes</t>
  </si>
  <si>
    <t>Actual Volumes</t>
  </si>
  <si>
    <t>Actuals - set based on actual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</si>
</sst>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&quot;$&quot;#,##0"/>
    <numFmt numFmtId="165" formatCode="_(* #,##0_);_(* \(#,##0\);_(* &quot;-&quot;_);_(@_)"/>
    <numFmt numFmtId="166" formatCode="_-* #,##0_-;\-* #,##0_-;_-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$&quot;#,##0_);\(&quot;$&quot;#,##0\)"/>
    <numFmt numFmtId="170" formatCode="_-&quot;$&quot;* #,##0_-;\-&quot;$&quot;* #,##0_-;_-&quot;$&quot;* &quot;-&quot;??_-;_-@_-"/>
    <numFmt numFmtId="171" formatCode="&quot;$&quot;* #,##0_);[Red]&quot;$&quot;* \(#,##0\)"/>
    <numFmt numFmtId="172" formatCode="_(* #,##0_);_(* \(#,##0\);_(* &quot;-&quot;??_);_(@_)"/>
    <numFmt numFmtId="173" formatCode="0.0%"/>
    <numFmt numFmtId="174" formatCode="[$-409]mmm\-yy;@"/>
    <numFmt numFmtId="175" formatCode="&quot;$&quot;#,##0_);[Red]\(&quot;$&quot;#,##0\)"/>
    <numFmt numFmtId="176" formatCode="0.00_);[Red]\(0.00\)"/>
    <numFmt numFmtId="177" formatCode="#,##0.000;[Red]\-#,##0.000"/>
    <numFmt numFmtId="178" formatCode="#,##0.0;[Red]\-#,##0.0"/>
    <numFmt numFmtId="179" formatCode="&quot;$&quot;#,##0.00_);[Red]\(&quot;$&quot;#,##0.00\)"/>
    <numFmt numFmtId="180" formatCode="_(&quot;$&quot;* #,##0_);_(&quot;$&quot;* \(#,##0\);_(&quot;$&quot;* &quot;-&quot;??_);_(@_)"/>
    <numFmt numFmtId="181" formatCode="0.0000_);[Red]\(0.0000\)"/>
    <numFmt numFmtId="182" formatCode="&quot;$&quot;#,##0.00_);\(&quot;$&quot;#,##0.00\)"/>
    <numFmt numFmtId="183" formatCode="* #,##0.00_)%;[Red]* \(#,##0.00\)%"/>
    <numFmt numFmtId="184" formatCode="[$-409]d\-mmm\-yy;@"/>
    <numFmt numFmtId="185" formatCode="0.0000"/>
    <numFmt numFmtId="186" formatCode="0.000"/>
    <numFmt numFmtId="187" formatCode="&quot;$&quot;* #,##0.00_);[Red]&quot;$&quot;* \(#,##0.00\)"/>
    <numFmt numFmtId="188" formatCode="&quot;$&quot;* #,##0.00_);[Red]&quot;$&quot;* \(\-#,##0.00\)"/>
    <numFmt numFmtId="189" formatCode="&quot;$&quot;* #,##0_);[Red]&quot;$&quot;* \(\-#,##0\)"/>
    <numFmt numFmtId="190" formatCode="&quot;$&quot;* #,##0.000_);[Red]&quot;$&quot;* \(#,##0.000\)"/>
    <numFmt numFmtId="191" formatCode="#,##0_ ;\-#,##0\ "/>
    <numFmt numFmtId="192" formatCode="#,##0.000;\-#,##0.000"/>
    <numFmt numFmtId="193" formatCode="&quot;$&quot;#,##0.00"/>
    <numFmt numFmtId="194" formatCode="0.0000%"/>
    <numFmt numFmtId="195" formatCode="#,##0.0000000_ ;[Red]\-#,##0.0000000\ "/>
  </numFmts>
  <fonts count="5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Segoe UI Semibold"/>
      <family val="2"/>
    </font>
    <font>
      <sz val="11"/>
      <color theme="1"/>
      <name val="Segoe UI Semibold"/>
      <family val="2"/>
    </font>
    <font>
      <b/>
      <sz val="11"/>
      <name val="Segoe UI Semibold"/>
      <family val="2"/>
    </font>
    <font>
      <sz val="11"/>
      <color theme="3"/>
      <name val="Aptos Narrow"/>
      <family val="2"/>
      <scheme val="minor"/>
    </font>
    <font>
      <sz val="11"/>
      <color indexed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Display"/>
      <family val="2"/>
      <scheme val="major"/>
    </font>
    <font>
      <b/>
      <sz val="11"/>
      <color theme="0"/>
      <name val="Segoe UI Semibold"/>
      <family val="2"/>
    </font>
    <font>
      <sz val="11"/>
      <color theme="0"/>
      <name val="Segoe UI Semibold"/>
      <family val="2"/>
    </font>
    <font>
      <b/>
      <u/>
      <sz val="11"/>
      <color theme="0"/>
      <name val="Segoe UI Semibold"/>
      <family val="2"/>
    </font>
    <font>
      <sz val="11"/>
      <color theme="6"/>
      <name val="Segoe UI Semibold"/>
      <family val="2"/>
    </font>
    <font>
      <b/>
      <sz val="11"/>
      <color theme="3"/>
      <name val="Segoe UI Semibold"/>
      <family val="2"/>
    </font>
    <font>
      <b/>
      <sz val="9"/>
      <color theme="0"/>
      <name val="Segoe UI Semibold"/>
      <family val="2"/>
    </font>
    <font>
      <sz val="11"/>
      <color indexed="12"/>
      <name val="Segoe UI Semibold"/>
      <family val="2"/>
    </font>
    <font>
      <sz val="11"/>
      <color indexed="8"/>
      <name val="Segoe UI Semibold"/>
      <family val="2"/>
    </font>
    <font>
      <b/>
      <u/>
      <sz val="11"/>
      <name val="Segoe UI Semibold"/>
      <family val="2"/>
    </font>
    <font>
      <sz val="11"/>
      <color theme="3"/>
      <name val="Segoe UI Semibold"/>
      <family val="2"/>
    </font>
    <font>
      <b/>
      <sz val="11"/>
      <color theme="1"/>
      <name val="Segoe UI Semibold"/>
      <family val="2"/>
    </font>
    <font>
      <b/>
      <i/>
      <sz val="11"/>
      <color theme="0"/>
      <name val="Aptos Narrow"/>
      <family val="2"/>
      <scheme val="minor"/>
    </font>
    <font>
      <sz val="11"/>
      <name val="Segoe UI Semilight"/>
      <family val="2"/>
    </font>
    <font>
      <sz val="11"/>
      <color rgb="FF000000"/>
      <name val="Segoe UI Semilight"/>
      <family val="2"/>
    </font>
    <font>
      <sz val="11"/>
      <color indexed="8"/>
      <name val="Aptos Narrow"/>
      <family val="2"/>
      <scheme val="minor"/>
    </font>
    <font>
      <sz val="11"/>
      <color indexed="10"/>
      <name val="Aptos Narrow"/>
      <family val="2"/>
      <scheme val="minor"/>
    </font>
    <font>
      <sz val="9"/>
      <color theme="1"/>
      <name val="Century Gothic"/>
      <family val="2"/>
    </font>
    <font>
      <b/>
      <sz val="11"/>
      <color indexed="8"/>
      <name val="Segoe UI Semibold"/>
      <family val="2"/>
    </font>
    <font>
      <b/>
      <sz val="11"/>
      <color indexed="12"/>
      <name val="Aptos Narrow"/>
      <family val="2"/>
      <scheme val="minor"/>
    </font>
    <font>
      <b/>
      <sz val="11"/>
      <color rgb="FF000000"/>
      <name val="Segoe UI Semibold"/>
      <family val="2"/>
    </font>
    <font>
      <sz val="11"/>
      <color indexed="10"/>
      <name val="Segoe UI Semibold"/>
      <family val="2"/>
    </font>
    <font>
      <b/>
      <u/>
      <sz val="11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b/>
      <i/>
      <sz val="11"/>
      <color theme="0"/>
      <name val="Segoe UI Semibold"/>
      <family val="2"/>
    </font>
    <font>
      <i/>
      <sz val="11"/>
      <color theme="0"/>
      <name val="Segoe UI Semibold"/>
      <family val="2"/>
    </font>
    <font>
      <b/>
      <sz val="11"/>
      <color indexed="12"/>
      <name val="Segoe UI Semibold"/>
      <family val="2"/>
    </font>
    <font>
      <sz val="11"/>
      <color theme="1"/>
      <name val="Segoe UI Semilight"/>
      <family val="2"/>
    </font>
    <font>
      <sz val="11"/>
      <color indexed="8"/>
      <name val="Segoe UI Semilight"/>
      <family val="2"/>
    </font>
    <font>
      <sz val="11"/>
      <color indexed="12"/>
      <name val="Segoe UI Semilight"/>
      <family val="2"/>
    </font>
    <font>
      <b/>
      <sz val="11"/>
      <color indexed="8"/>
      <name val="Segoe UI Semilight"/>
      <family val="2"/>
    </font>
    <font>
      <sz val="11"/>
      <color theme="3"/>
      <name val="Segoe UI Semilight"/>
      <family val="2"/>
    </font>
    <font>
      <b/>
      <sz val="11"/>
      <name val="Segoe UI Semilight"/>
      <family val="2"/>
    </font>
    <font>
      <i/>
      <sz val="11"/>
      <color indexed="8"/>
      <name val="Segoe UI Semilight"/>
      <family val="2"/>
    </font>
    <font>
      <i/>
      <sz val="11"/>
      <name val="Segoe UI Semilight"/>
      <family val="2"/>
    </font>
    <font>
      <b/>
      <sz val="11"/>
      <color rgb="FFFF0000"/>
      <name val="Segoe UI Semilight"/>
      <family val="2"/>
    </font>
    <font>
      <i/>
      <sz val="10"/>
      <name val="Segoe UI Semilight"/>
      <family val="2"/>
    </font>
    <font>
      <i/>
      <sz val="10"/>
      <color theme="1"/>
      <name val="Segoe UI Semilight"/>
      <family val="2"/>
    </font>
    <font>
      <sz val="11"/>
      <color rgb="FF0000E1"/>
      <name val="Segoe UI Semilight"/>
      <family val="2"/>
    </font>
    <font>
      <i/>
      <sz val="8"/>
      <color theme="1"/>
      <name val="Segoe UI Semilight"/>
      <family val="2"/>
    </font>
    <font>
      <i/>
      <sz val="11"/>
      <color theme="1"/>
      <name val="Segoe UI Semilight"/>
      <family val="2"/>
    </font>
    <font>
      <b/>
      <i/>
      <sz val="11"/>
      <name val="Segoe UI Semibold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F3C4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5A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89999084444715716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BFBFB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0" tint="-0.249977111117893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77111117893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BFBFBF"/>
      </bottom>
      <diagonal/>
    </border>
    <border>
      <left/>
      <right/>
      <top style="thin">
        <color auto="1"/>
      </top>
      <bottom style="medium">
        <color theme="0" tint="-0.24994659260841701"/>
      </bottom>
      <diagonal/>
    </border>
  </borders>
  <cellStyleXfs count="6">
    <xf numFmtId="0" fontId="0" fillId="0" borderId="0"/>
    <xf numFmtId="37" fontId="1" fillId="0" borderId="0"/>
    <xf numFmtId="171" fontId="12" fillId="0" borderId="0"/>
    <xf numFmtId="173" fontId="1" fillId="0" borderId="0" applyAlignment="0"/>
    <xf numFmtId="166" fontId="13" fillId="5" borderId="2">
      <alignment horizontal="center" vertical="center" wrapText="1"/>
    </xf>
    <xf numFmtId="40" fontId="12" fillId="0" borderId="0"/>
  </cellStyleXfs>
  <cellXfs count="1073">
    <xf numFmtId="0" fontId="0" fillId="0" borderId="0" xfId="0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4" borderId="0" xfId="0" applyFont="1" applyFill="1"/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12" fillId="2" borderId="0" xfId="0" applyFont="1" applyFill="1"/>
    <xf numFmtId="165" fontId="0" fillId="2" borderId="0" xfId="0" applyNumberFormat="1" applyFill="1"/>
    <xf numFmtId="165" fontId="0" fillId="3" borderId="0" xfId="0" applyNumberFormat="1" applyFill="1"/>
    <xf numFmtId="0" fontId="11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10" fontId="11" fillId="2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vertical="top" wrapText="1"/>
    </xf>
    <xf numFmtId="0" fontId="11" fillId="3" borderId="0" xfId="0" applyFont="1" applyFill="1"/>
    <xf numFmtId="0" fontId="0" fillId="4" borderId="0" xfId="0" applyFill="1"/>
    <xf numFmtId="166" fontId="3" fillId="2" borderId="0" xfId="0" applyNumberFormat="1" applyFont="1" applyFill="1" applyAlignment="1">
      <alignment wrapText="1"/>
    </xf>
    <xf numFmtId="10" fontId="0" fillId="3" borderId="0" xfId="0" applyNumberFormat="1" applyFill="1" applyAlignment="1">
      <alignment vertical="top" wrapText="1"/>
    </xf>
    <xf numFmtId="10" fontId="0" fillId="2" borderId="0" xfId="0" applyNumberFormat="1" applyFill="1" applyAlignment="1">
      <alignment vertical="top" wrapText="1"/>
    </xf>
    <xf numFmtId="0" fontId="7" fillId="6" borderId="0" xfId="0" applyFont="1" applyFill="1"/>
    <xf numFmtId="10" fontId="3" fillId="2" borderId="0" xfId="0" applyNumberFormat="1" applyFont="1" applyFill="1" applyAlignment="1">
      <alignment vertical="top" wrapText="1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5" xfId="0" applyFont="1" applyFill="1" applyBorder="1" applyAlignment="1">
      <alignment vertical="center"/>
    </xf>
    <xf numFmtId="0" fontId="14" fillId="6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166" fontId="11" fillId="3" borderId="0" xfId="0" applyNumberFormat="1" applyFont="1" applyFill="1" applyAlignment="1">
      <alignment horizontal="center" wrapText="1"/>
    </xf>
    <xf numFmtId="0" fontId="14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5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5" fillId="6" borderId="8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 vertical="top" wrapText="1"/>
    </xf>
    <xf numFmtId="168" fontId="3" fillId="2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7" fillId="6" borderId="7" xfId="0" applyFont="1" applyFill="1" applyBorder="1" applyAlignment="1">
      <alignment vertical="center"/>
    </xf>
    <xf numFmtId="168" fontId="3" fillId="3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top" wrapText="1"/>
    </xf>
    <xf numFmtId="0" fontId="8" fillId="6" borderId="0" xfId="0" applyFont="1" applyFill="1" applyAlignment="1">
      <alignment horizontal="center"/>
    </xf>
    <xf numFmtId="0" fontId="6" fillId="6" borderId="0" xfId="0" applyFont="1" applyFill="1"/>
    <xf numFmtId="0" fontId="0" fillId="2" borderId="0" xfId="0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66" fontId="14" fillId="5" borderId="9" xfId="0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66" fontId="14" fillId="5" borderId="3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69" fontId="0" fillId="2" borderId="0" xfId="0" applyNumberForma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center" vertical="center" wrapText="1"/>
    </xf>
    <xf numFmtId="170" fontId="14" fillId="5" borderId="0" xfId="0" applyNumberFormat="1" applyFont="1" applyFill="1" applyAlignment="1">
      <alignment horizontal="center" vertical="center"/>
    </xf>
    <xf numFmtId="170" fontId="14" fillId="5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5" fontId="14" fillId="5" borderId="6" xfId="0" applyNumberFormat="1" applyFont="1" applyFill="1" applyBorder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/>
    </xf>
    <xf numFmtId="165" fontId="14" fillId="5" borderId="5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 wrapText="1"/>
    </xf>
    <xf numFmtId="165" fontId="14" fillId="5" borderId="5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68" fontId="14" fillId="5" borderId="7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168" fontId="15" fillId="5" borderId="7" xfId="0" applyNumberFormat="1" applyFont="1" applyFill="1" applyBorder="1" applyAlignment="1">
      <alignment horizontal="center" vertical="center" wrapText="1"/>
    </xf>
    <xf numFmtId="164" fontId="15" fillId="5" borderId="5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164" fontId="15" fillId="5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168" fontId="14" fillId="5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8" fontId="14" fillId="5" borderId="5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 wrapText="1"/>
    </xf>
    <xf numFmtId="166" fontId="14" fillId="5" borderId="0" xfId="0" applyNumberFormat="1" applyFont="1" applyFill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8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166" fontId="18" fillId="2" borderId="13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quotePrefix="1" applyFont="1" applyFill="1" applyBorder="1" applyAlignment="1">
      <alignment horizontal="center" vertical="center"/>
    </xf>
    <xf numFmtId="166" fontId="18" fillId="2" borderId="11" xfId="0" applyNumberFormat="1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166" fontId="18" fillId="2" borderId="0" xfId="0" applyNumberFormat="1" applyFont="1" applyFill="1" applyAlignment="1">
      <alignment horizontal="center" vertical="center"/>
    </xf>
    <xf numFmtId="0" fontId="18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2" borderId="12" xfId="0" applyFont="1" applyFill="1" applyBorder="1" applyAlignment="1">
      <alignment vertical="center"/>
    </xf>
    <xf numFmtId="166" fontId="1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169" fontId="0" fillId="2" borderId="0" xfId="0" applyNumberFormat="1" applyFill="1" applyAlignment="1">
      <alignment vertical="center"/>
    </xf>
    <xf numFmtId="0" fontId="20" fillId="2" borderId="5" xfId="0" applyFont="1" applyFill="1" applyBorder="1" applyAlignment="1">
      <alignment horizontal="center" vertical="center"/>
    </xf>
    <xf numFmtId="164" fontId="18" fillId="2" borderId="5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164" fontId="18" fillId="2" borderId="13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5" fontId="11" fillId="3" borderId="0" xfId="0" applyNumberFormat="1" applyFont="1" applyFill="1" applyAlignment="1">
      <alignment horizontal="center" vertical="center"/>
    </xf>
    <xf numFmtId="0" fontId="22" fillId="2" borderId="12" xfId="0" applyFont="1" applyFill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164" fontId="12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0" fontId="18" fillId="2" borderId="12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0" xfId="0" quotePrefix="1" applyFont="1" applyFill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vertical="center"/>
    </xf>
    <xf numFmtId="166" fontId="14" fillId="7" borderId="0" xfId="0" applyNumberFormat="1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6" fontId="14" fillId="7" borderId="6" xfId="0" applyNumberFormat="1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/>
    <xf numFmtId="166" fontId="14" fillId="8" borderId="1" xfId="0" applyNumberFormat="1" applyFont="1" applyFill="1" applyBorder="1" applyAlignment="1">
      <alignment wrapText="1"/>
    </xf>
    <xf numFmtId="0" fontId="15" fillId="8" borderId="1" xfId="0" applyFont="1" applyFill="1" applyBorder="1"/>
    <xf numFmtId="0" fontId="5" fillId="2" borderId="0" xfId="0" applyFont="1" applyFill="1"/>
    <xf numFmtId="0" fontId="4" fillId="2" borderId="0" xfId="0" applyFont="1" applyFill="1"/>
    <xf numFmtId="0" fontId="24" fillId="4" borderId="0" xfId="0" applyFont="1" applyFill="1"/>
    <xf numFmtId="0" fontId="18" fillId="4" borderId="0" xfId="0" applyFont="1" applyFill="1" applyAlignment="1">
      <alignment horizontal="center"/>
    </xf>
    <xf numFmtId="0" fontId="6" fillId="4" borderId="0" xfId="0" applyFont="1" applyFill="1"/>
    <xf numFmtId="0" fontId="8" fillId="4" borderId="0" xfId="0" applyFont="1" applyFill="1"/>
    <xf numFmtId="0" fontId="0" fillId="4" borderId="5" xfId="0" applyFill="1" applyBorder="1"/>
    <xf numFmtId="0" fontId="0" fillId="4" borderId="6" xfId="0" applyFill="1" applyBorder="1"/>
    <xf numFmtId="171" fontId="12" fillId="4" borderId="0" xfId="2" applyFill="1"/>
    <xf numFmtId="169" fontId="0" fillId="2" borderId="0" xfId="0" applyNumberFormat="1" applyFill="1"/>
    <xf numFmtId="0" fontId="7" fillId="4" borderId="5" xfId="0" applyFont="1" applyFill="1" applyBorder="1"/>
    <xf numFmtId="0" fontId="8" fillId="4" borderId="0" xfId="0" applyFont="1" applyFill="1" applyAlignment="1">
      <alignment horizontal="center"/>
    </xf>
    <xf numFmtId="0" fontId="8" fillId="4" borderId="5" xfId="0" applyFont="1" applyFill="1" applyBorder="1" applyAlignment="1">
      <alignment horizontal="center"/>
    </xf>
    <xf numFmtId="164" fontId="12" fillId="2" borderId="0" xfId="0" applyNumberFormat="1" applyFont="1" applyFill="1"/>
    <xf numFmtId="164" fontId="12" fillId="3" borderId="0" xfId="0" applyNumberFormat="1" applyFont="1" applyFill="1"/>
    <xf numFmtId="170" fontId="0" fillId="2" borderId="0" xfId="0" applyNumberFormat="1" applyFill="1"/>
    <xf numFmtId="0" fontId="18" fillId="4" borderId="5" xfId="0" applyFont="1" applyFill="1" applyBorder="1" applyAlignment="1">
      <alignment horizontal="center" vertical="center"/>
    </xf>
    <xf numFmtId="170" fontId="0" fillId="2" borderId="0" xfId="0" applyNumberFormat="1" applyFill="1" applyAlignment="1">
      <alignment horizontal="justify" vertical="distributed"/>
    </xf>
    <xf numFmtId="170" fontId="0" fillId="3" borderId="0" xfId="0" applyNumberFormat="1" applyFill="1" applyAlignment="1">
      <alignment horizontal="justify" vertical="distributed"/>
    </xf>
    <xf numFmtId="0" fontId="23" fillId="4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4" fillId="8" borderId="7" xfId="0" applyFont="1" applyFill="1" applyBorder="1" applyAlignment="1">
      <alignment vertical="center" wrapText="1"/>
    </xf>
    <xf numFmtId="0" fontId="14" fillId="8" borderId="7" xfId="0" applyFont="1" applyFill="1" applyBorder="1" applyAlignment="1">
      <alignment horizontal="right" vertical="center"/>
    </xf>
    <xf numFmtId="168" fontId="14" fillId="8" borderId="0" xfId="0" applyNumberFormat="1" applyFont="1" applyFill="1" applyAlignment="1">
      <alignment horizontal="center" vertical="center" wrapText="1"/>
    </xf>
    <xf numFmtId="2" fontId="14" fillId="8" borderId="5" xfId="0" applyNumberFormat="1" applyFont="1" applyFill="1" applyBorder="1" applyAlignment="1">
      <alignment horizontal="right" vertical="center" wrapText="1"/>
    </xf>
    <xf numFmtId="2" fontId="14" fillId="8" borderId="0" xfId="0" applyNumberFormat="1" applyFont="1" applyFill="1" applyAlignment="1">
      <alignment horizontal="right" vertical="center" wrapText="1"/>
    </xf>
    <xf numFmtId="10" fontId="14" fillId="8" borderId="0" xfId="0" applyNumberFormat="1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top" wrapText="1"/>
    </xf>
    <xf numFmtId="10" fontId="0" fillId="3" borderId="0" xfId="0" applyNumberFormat="1" applyFill="1"/>
    <xf numFmtId="0" fontId="0" fillId="3" borderId="0" xfId="0" applyFill="1" applyAlignment="1">
      <alignment vertical="top" wrapText="1"/>
    </xf>
    <xf numFmtId="0" fontId="18" fillId="2" borderId="0" xfId="0" applyFont="1" applyFill="1" applyAlignment="1">
      <alignment horizontal="center"/>
    </xf>
    <xf numFmtId="0" fontId="9" fillId="2" borderId="0" xfId="0" applyFont="1" applyFill="1"/>
    <xf numFmtId="0" fontId="0" fillId="2" borderId="5" xfId="0" applyFill="1" applyBorder="1"/>
    <xf numFmtId="171" fontId="12" fillId="2" borderId="6" xfId="2" applyFill="1" applyBorder="1"/>
    <xf numFmtId="40" fontId="12" fillId="2" borderId="5" xfId="5" applyFill="1" applyBorder="1"/>
    <xf numFmtId="40" fontId="12" fillId="2" borderId="0" xfId="5" applyFill="1"/>
    <xf numFmtId="171" fontId="12" fillId="2" borderId="5" xfId="2" applyFill="1" applyBorder="1"/>
    <xf numFmtId="173" fontId="0" fillId="2" borderId="0" xfId="3" applyFont="1" applyFill="1"/>
    <xf numFmtId="171" fontId="12" fillId="2" borderId="0" xfId="2" applyFill="1"/>
    <xf numFmtId="0" fontId="12" fillId="2" borderId="0" xfId="0" applyFont="1" applyFill="1" applyAlignment="1">
      <alignment horizontal="left" indent="1"/>
    </xf>
    <xf numFmtId="166" fontId="0" fillId="2" borderId="0" xfId="0" applyNumberFormat="1" applyFill="1"/>
    <xf numFmtId="175" fontId="0" fillId="2" borderId="0" xfId="0" applyNumberFormat="1" applyFill="1"/>
    <xf numFmtId="176" fontId="0" fillId="2" borderId="0" xfId="0" applyNumberFormat="1" applyFill="1"/>
    <xf numFmtId="168" fontId="0" fillId="2" borderId="0" xfId="0" applyNumberFormat="1" applyFill="1"/>
    <xf numFmtId="173" fontId="0" fillId="2" borderId="0" xfId="0" applyNumberFormat="1" applyFill="1"/>
    <xf numFmtId="171" fontId="26" fillId="9" borderId="14" xfId="2" applyFont="1" applyFill="1" applyBorder="1"/>
    <xf numFmtId="39" fontId="27" fillId="9" borderId="0" xfId="1" applyNumberFormat="1" applyFont="1" applyFill="1"/>
    <xf numFmtId="39" fontId="1" fillId="2" borderId="0" xfId="1" applyNumberFormat="1" applyFill="1"/>
    <xf numFmtId="173" fontId="1" fillId="2" borderId="0" xfId="3" applyFill="1"/>
    <xf numFmtId="171" fontId="12" fillId="0" borderId="0" xfId="2"/>
    <xf numFmtId="0" fontId="29" fillId="2" borderId="0" xfId="0" applyFont="1" applyFill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18" fillId="10" borderId="5" xfId="0" applyFont="1" applyFill="1" applyBorder="1" applyAlignment="1">
      <alignment horizontal="center"/>
    </xf>
    <xf numFmtId="177" fontId="12" fillId="4" borderId="0" xfId="5" applyNumberFormat="1" applyFill="1"/>
    <xf numFmtId="171" fontId="12" fillId="4" borderId="6" xfId="2" applyFill="1" applyBorder="1"/>
    <xf numFmtId="0" fontId="11" fillId="4" borderId="0" xfId="0" applyFont="1" applyFill="1"/>
    <xf numFmtId="171" fontId="26" fillId="11" borderId="0" xfId="2" applyFont="1" applyFill="1"/>
    <xf numFmtId="173" fontId="0" fillId="4" borderId="0" xfId="0" applyNumberFormat="1" applyFill="1"/>
    <xf numFmtId="0" fontId="9" fillId="4" borderId="0" xfId="0" applyFont="1" applyFill="1"/>
    <xf numFmtId="0" fontId="18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left" indent="1"/>
    </xf>
    <xf numFmtId="0" fontId="12" fillId="4" borderId="0" xfId="0" applyFont="1" applyFill="1"/>
    <xf numFmtId="175" fontId="0" fillId="4" borderId="0" xfId="0" applyNumberFormat="1" applyFill="1"/>
    <xf numFmtId="176" fontId="0" fillId="4" borderId="0" xfId="0" applyNumberFormat="1" applyFill="1"/>
    <xf numFmtId="168" fontId="0" fillId="4" borderId="0" xfId="0" applyNumberFormat="1" applyFill="1"/>
    <xf numFmtId="171" fontId="26" fillId="11" borderId="14" xfId="2" applyFont="1" applyFill="1" applyBorder="1"/>
    <xf numFmtId="39" fontId="27" fillId="11" borderId="0" xfId="1" applyNumberFormat="1" applyFont="1" applyFill="1"/>
    <xf numFmtId="39" fontId="1" fillId="4" borderId="0" xfId="1" applyNumberFormat="1" applyFill="1"/>
    <xf numFmtId="173" fontId="1" fillId="4" borderId="0" xfId="3" applyFill="1"/>
    <xf numFmtId="173" fontId="1" fillId="4" borderId="6" xfId="3" applyFill="1" applyBorder="1"/>
    <xf numFmtId="0" fontId="18" fillId="4" borderId="15" xfId="0" applyFont="1" applyFill="1" applyBorder="1" applyAlignment="1">
      <alignment horizontal="center"/>
    </xf>
    <xf numFmtId="0" fontId="12" fillId="3" borderId="0" xfId="0" applyFont="1" applyFill="1"/>
    <xf numFmtId="0" fontId="29" fillId="4" borderId="0" xfId="0" applyFont="1" applyFill="1" applyAlignment="1">
      <alignment horizontal="center"/>
    </xf>
    <xf numFmtId="164" fontId="0" fillId="3" borderId="0" xfId="0" applyNumberFormat="1" applyFill="1"/>
    <xf numFmtId="0" fontId="18" fillId="4" borderId="5" xfId="0" applyFont="1" applyFill="1" applyBorder="1" applyAlignment="1">
      <alignment horizontal="center"/>
    </xf>
    <xf numFmtId="177" fontId="12" fillId="2" borderId="0" xfId="5" applyNumberFormat="1" applyFill="1"/>
    <xf numFmtId="166" fontId="3" fillId="8" borderId="1" xfId="0" applyNumberFormat="1" applyFont="1" applyFill="1" applyBorder="1" applyAlignment="1">
      <alignment wrapText="1"/>
    </xf>
    <xf numFmtId="0" fontId="5" fillId="8" borderId="1" xfId="0" applyFont="1" applyFill="1" applyBorder="1"/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indent="1"/>
    </xf>
    <xf numFmtId="0" fontId="11" fillId="3" borderId="0" xfId="0" applyFont="1" applyFill="1" applyAlignment="1">
      <alignment horizontal="center" wrapText="1"/>
    </xf>
    <xf numFmtId="0" fontId="18" fillId="2" borderId="17" xfId="0" applyFont="1" applyFill="1" applyBorder="1" applyAlignment="1">
      <alignment horizontal="center"/>
    </xf>
    <xf numFmtId="0" fontId="8" fillId="2" borderId="18" xfId="0" applyFont="1" applyFill="1" applyBorder="1"/>
    <xf numFmtId="37" fontId="24" fillId="2" borderId="17" xfId="1" applyFont="1" applyFill="1" applyBorder="1"/>
    <xf numFmtId="171" fontId="8" fillId="2" borderId="17" xfId="2" applyFont="1" applyFill="1" applyBorder="1"/>
    <xf numFmtId="171" fontId="8" fillId="2" borderId="18" xfId="2" applyFont="1" applyFill="1" applyBorder="1"/>
    <xf numFmtId="165" fontId="8" fillId="2" borderId="17" xfId="0" applyNumberFormat="1" applyFont="1" applyFill="1" applyBorder="1"/>
    <xf numFmtId="171" fontId="8" fillId="0" borderId="19" xfId="2" applyFont="1" applyBorder="1"/>
    <xf numFmtId="171" fontId="8" fillId="0" borderId="20" xfId="2" applyFont="1" applyBorder="1"/>
    <xf numFmtId="0" fontId="18" fillId="2" borderId="21" xfId="0" applyFont="1" applyFill="1" applyBorder="1" applyAlignment="1">
      <alignment horizontal="center"/>
    </xf>
    <xf numFmtId="37" fontId="8" fillId="2" borderId="22" xfId="0" applyNumberFormat="1" applyFont="1" applyFill="1" applyBorder="1" applyAlignment="1">
      <alignment horizontal="right"/>
    </xf>
    <xf numFmtId="171" fontId="8" fillId="2" borderId="21" xfId="2" applyFont="1" applyFill="1" applyBorder="1"/>
    <xf numFmtId="171" fontId="8" fillId="2" borderId="22" xfId="2" applyFont="1" applyFill="1" applyBorder="1"/>
    <xf numFmtId="0" fontId="18" fillId="2" borderId="2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6" fontId="11" fillId="2" borderId="0" xfId="0" applyNumberFormat="1" applyFont="1" applyFill="1"/>
    <xf numFmtId="165" fontId="4" fillId="2" borderId="0" xfId="0" applyNumberFormat="1" applyFont="1" applyFill="1"/>
    <xf numFmtId="170" fontId="0" fillId="3" borderId="0" xfId="0" applyNumberFormat="1" applyFill="1"/>
    <xf numFmtId="10" fontId="24" fillId="4" borderId="0" xfId="0" applyNumberFormat="1" applyFont="1" applyFill="1"/>
    <xf numFmtId="180" fontId="30" fillId="4" borderId="0" xfId="2" applyNumberFormat="1" applyFont="1" applyFill="1"/>
    <xf numFmtId="0" fontId="18" fillId="2" borderId="1" xfId="0" applyFont="1" applyFill="1" applyBorder="1" applyAlignment="1">
      <alignment horizontal="center"/>
    </xf>
    <xf numFmtId="0" fontId="12" fillId="2" borderId="1" xfId="0" applyFont="1" applyFill="1" applyBorder="1"/>
    <xf numFmtId="171" fontId="26" fillId="9" borderId="24" xfId="2" applyFont="1" applyFill="1" applyBorder="1"/>
    <xf numFmtId="39" fontId="27" fillId="9" borderId="25" xfId="1" applyNumberFormat="1" applyFont="1" applyFill="1" applyBorder="1"/>
    <xf numFmtId="0" fontId="18" fillId="2" borderId="15" xfId="0" applyFont="1" applyFill="1" applyBorder="1" applyAlignment="1">
      <alignment horizontal="center"/>
    </xf>
    <xf numFmtId="0" fontId="3" fillId="8" borderId="0" xfId="0" applyFont="1" applyFill="1"/>
    <xf numFmtId="173" fontId="0" fillId="3" borderId="0" xfId="0" applyNumberFormat="1" applyFill="1"/>
    <xf numFmtId="181" fontId="0" fillId="4" borderId="0" xfId="0" applyNumberFormat="1" applyFill="1"/>
    <xf numFmtId="173" fontId="1" fillId="4" borderId="28" xfId="3" applyFill="1" applyBorder="1"/>
    <xf numFmtId="0" fontId="18" fillId="4" borderId="17" xfId="0" applyFont="1" applyFill="1" applyBorder="1" applyAlignment="1">
      <alignment horizontal="center"/>
    </xf>
    <xf numFmtId="0" fontId="8" fillId="4" borderId="17" xfId="0" applyFont="1" applyFill="1" applyBorder="1"/>
    <xf numFmtId="171" fontId="8" fillId="4" borderId="21" xfId="2" applyFont="1" applyFill="1" applyBorder="1"/>
    <xf numFmtId="171" fontId="8" fillId="4" borderId="22" xfId="2" applyFont="1" applyFill="1" applyBorder="1"/>
    <xf numFmtId="0" fontId="8" fillId="4" borderId="18" xfId="0" applyFont="1" applyFill="1" applyBorder="1"/>
    <xf numFmtId="0" fontId="8" fillId="2" borderId="0" xfId="0" applyFont="1" applyFill="1"/>
    <xf numFmtId="0" fontId="7" fillId="2" borderId="5" xfId="0" applyFont="1" applyFill="1" applyBorder="1"/>
    <xf numFmtId="171" fontId="8" fillId="2" borderId="0" xfId="2" applyFont="1" applyFill="1"/>
    <xf numFmtId="0" fontId="0" fillId="12" borderId="0" xfId="0" applyFill="1"/>
    <xf numFmtId="165" fontId="0" fillId="2" borderId="0" xfId="0" applyNumberForma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2" fillId="4" borderId="1" xfId="0" applyFont="1" applyFill="1" applyBorder="1"/>
    <xf numFmtId="0" fontId="0" fillId="4" borderId="1" xfId="0" applyFill="1" applyBorder="1"/>
    <xf numFmtId="171" fontId="26" fillId="11" borderId="24" xfId="2" applyFont="1" applyFill="1" applyBorder="1"/>
    <xf numFmtId="39" fontId="27" fillId="11" borderId="25" xfId="1" applyNumberFormat="1" applyFont="1" applyFill="1" applyBorder="1"/>
    <xf numFmtId="0" fontId="24" fillId="2" borderId="0" xfId="0" applyFont="1" applyFill="1"/>
    <xf numFmtId="0" fontId="29" fillId="4" borderId="1" xfId="0" applyFont="1" applyFill="1" applyBorder="1" applyAlignment="1">
      <alignment horizontal="center"/>
    </xf>
    <xf numFmtId="0" fontId="31" fillId="4" borderId="4" xfId="0" applyFont="1" applyFill="1" applyBorder="1" applyAlignment="1">
      <alignment horizontal="right" wrapText="1"/>
    </xf>
    <xf numFmtId="171" fontId="8" fillId="4" borderId="0" xfId="2" applyFont="1" applyFill="1"/>
    <xf numFmtId="171" fontId="8" fillId="4" borderId="5" xfId="2" applyFont="1" applyFill="1" applyBorder="1"/>
    <xf numFmtId="171" fontId="8" fillId="2" borderId="6" xfId="2" applyFont="1" applyFill="1" applyBorder="1"/>
    <xf numFmtId="40" fontId="8" fillId="2" borderId="5" xfId="5" applyFont="1" applyFill="1" applyBorder="1"/>
    <xf numFmtId="40" fontId="8" fillId="2" borderId="0" xfId="5" applyFont="1" applyFill="1"/>
    <xf numFmtId="171" fontId="8" fillId="2" borderId="5" xfId="2" applyFont="1" applyFill="1" applyBorder="1"/>
    <xf numFmtId="173" fontId="24" fillId="2" borderId="0" xfId="3" applyFont="1" applyFill="1"/>
    <xf numFmtId="0" fontId="18" fillId="2" borderId="17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indent="1"/>
    </xf>
    <xf numFmtId="171" fontId="12" fillId="2" borderId="11" xfId="2" applyFill="1" applyBorder="1"/>
    <xf numFmtId="171" fontId="12" fillId="2" borderId="12" xfId="2" applyFill="1" applyBorder="1"/>
    <xf numFmtId="177" fontId="8" fillId="4" borderId="0" xfId="5" applyNumberFormat="1" applyFont="1" applyFill="1"/>
    <xf numFmtId="171" fontId="8" fillId="4" borderId="6" xfId="2" applyFont="1" applyFill="1" applyBorder="1"/>
    <xf numFmtId="171" fontId="8" fillId="4" borderId="11" xfId="2" applyFont="1" applyFill="1" applyBorder="1"/>
    <xf numFmtId="40" fontId="8" fillId="4" borderId="5" xfId="5" applyFont="1" applyFill="1" applyBorder="1"/>
    <xf numFmtId="40" fontId="8" fillId="4" borderId="0" xfId="5" applyFont="1" applyFill="1"/>
    <xf numFmtId="173" fontId="24" fillId="4" borderId="0" xfId="3" applyFont="1" applyFill="1"/>
    <xf numFmtId="0" fontId="18" fillId="2" borderId="0" xfId="0" applyFont="1" applyFill="1"/>
    <xf numFmtId="175" fontId="32" fillId="2" borderId="0" xfId="0" applyNumberFormat="1" applyFont="1" applyFill="1"/>
    <xf numFmtId="0" fontId="0" fillId="2" borderId="6" xfId="0" applyFill="1" applyBorder="1"/>
    <xf numFmtId="173" fontId="1" fillId="2" borderId="13" xfId="3" applyFill="1" applyBorder="1"/>
    <xf numFmtId="0" fontId="14" fillId="8" borderId="0" xfId="0" applyFont="1" applyFill="1"/>
    <xf numFmtId="0" fontId="18" fillId="4" borderId="17" xfId="0" applyFont="1" applyFill="1" applyBorder="1"/>
    <xf numFmtId="0" fontId="6" fillId="4" borderId="17" xfId="0" applyFont="1" applyFill="1" applyBorder="1"/>
    <xf numFmtId="0" fontId="24" fillId="4" borderId="17" xfId="0" applyFont="1" applyFill="1" applyBorder="1"/>
    <xf numFmtId="0" fontId="7" fillId="4" borderId="17" xfId="0" applyFont="1" applyFill="1" applyBorder="1"/>
    <xf numFmtId="173" fontId="1" fillId="4" borderId="29" xfId="3" applyFill="1" applyBorder="1"/>
    <xf numFmtId="175" fontId="0" fillId="4" borderId="17" xfId="0" applyNumberFormat="1" applyFill="1" applyBorder="1"/>
    <xf numFmtId="176" fontId="0" fillId="4" borderId="17" xfId="0" applyNumberFormat="1" applyFill="1" applyBorder="1"/>
    <xf numFmtId="173" fontId="0" fillId="4" borderId="17" xfId="0" applyNumberFormat="1" applyFill="1" applyBorder="1"/>
    <xf numFmtId="168" fontId="0" fillId="4" borderId="17" xfId="0" applyNumberFormat="1" applyFill="1" applyBorder="1"/>
    <xf numFmtId="0" fontId="0" fillId="4" borderId="17" xfId="0" applyFill="1" applyBorder="1"/>
    <xf numFmtId="0" fontId="0" fillId="4" borderId="30" xfId="0" applyFill="1" applyBorder="1"/>
    <xf numFmtId="173" fontId="1" fillId="4" borderId="31" xfId="3" applyFill="1" applyBorder="1"/>
    <xf numFmtId="39" fontId="1" fillId="4" borderId="29" xfId="1" applyNumberFormat="1" applyFill="1" applyBorder="1"/>
    <xf numFmtId="171" fontId="0" fillId="2" borderId="0" xfId="0" applyNumberFormat="1" applyFill="1"/>
    <xf numFmtId="165" fontId="0" fillId="3" borderId="0" xfId="0" applyNumberFormat="1" applyFill="1" applyAlignment="1">
      <alignment horizontal="center"/>
    </xf>
    <xf numFmtId="167" fontId="8" fillId="4" borderId="6" xfId="2" applyNumberFormat="1" applyFont="1" applyFill="1" applyBorder="1"/>
    <xf numFmtId="0" fontId="18" fillId="4" borderId="11" xfId="0" applyFont="1" applyFill="1" applyBorder="1" applyAlignment="1">
      <alignment horizontal="center" vertical="center"/>
    </xf>
    <xf numFmtId="0" fontId="8" fillId="4" borderId="11" xfId="0" applyFont="1" applyFill="1" applyBorder="1"/>
    <xf numFmtId="0" fontId="7" fillId="4" borderId="12" xfId="0" applyFont="1" applyFill="1" applyBorder="1"/>
    <xf numFmtId="37" fontId="24" fillId="4" borderId="13" xfId="1" applyFont="1" applyFill="1" applyBorder="1"/>
    <xf numFmtId="173" fontId="24" fillId="4" borderId="11" xfId="3" applyFont="1" applyFill="1" applyBorder="1"/>
    <xf numFmtId="0" fontId="18" fillId="12" borderId="1" xfId="0" applyFont="1" applyFill="1" applyBorder="1" applyAlignment="1">
      <alignment horizontal="center"/>
    </xf>
    <xf numFmtId="0" fontId="29" fillId="12" borderId="1" xfId="0" applyFont="1" applyFill="1" applyBorder="1" applyAlignment="1">
      <alignment horizontal="center"/>
    </xf>
    <xf numFmtId="0" fontId="31" fillId="12" borderId="4" xfId="0" applyFont="1" applyFill="1" applyBorder="1" applyAlignment="1">
      <alignment horizontal="right" wrapText="1"/>
    </xf>
    <xf numFmtId="171" fontId="8" fillId="12" borderId="0" xfId="2" applyFont="1" applyFill="1"/>
    <xf numFmtId="171" fontId="8" fillId="12" borderId="5" xfId="2" applyFont="1" applyFill="1" applyBorder="1"/>
    <xf numFmtId="0" fontId="18" fillId="2" borderId="29" xfId="0" applyFont="1" applyFill="1" applyBorder="1" applyAlignment="1">
      <alignment horizontal="center" vertical="center"/>
    </xf>
    <xf numFmtId="0" fontId="8" fillId="2" borderId="17" xfId="0" applyFont="1" applyFill="1" applyBorder="1"/>
    <xf numFmtId="0" fontId="7" fillId="2" borderId="18" xfId="0" applyFont="1" applyFill="1" applyBorder="1"/>
    <xf numFmtId="0" fontId="24" fillId="2" borderId="30" xfId="0" applyFont="1" applyFill="1" applyBorder="1" applyAlignment="1">
      <alignment horizontal="right"/>
    </xf>
    <xf numFmtId="173" fontId="24" fillId="2" borderId="17" xfId="3" applyFont="1" applyFill="1" applyBorder="1"/>
    <xf numFmtId="0" fontId="18" fillId="2" borderId="16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8" fillId="4" borderId="1" xfId="0" applyFont="1" applyFill="1" applyBorder="1"/>
    <xf numFmtId="171" fontId="8" fillId="4" borderId="1" xfId="2" applyFont="1" applyFill="1" applyBorder="1"/>
    <xf numFmtId="177" fontId="8" fillId="4" borderId="1" xfId="5" applyNumberFormat="1" applyFont="1" applyFill="1" applyBorder="1"/>
    <xf numFmtId="171" fontId="8" fillId="4" borderId="3" xfId="2" applyFont="1" applyFill="1" applyBorder="1"/>
    <xf numFmtId="0" fontId="2" fillId="2" borderId="0" xfId="0" applyFont="1" applyFill="1"/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 wrapText="1"/>
    </xf>
    <xf numFmtId="180" fontId="12" fillId="2" borderId="0" xfId="0" applyNumberFormat="1" applyFont="1" applyFill="1"/>
    <xf numFmtId="0" fontId="18" fillId="12" borderId="0" xfId="0" applyFont="1" applyFill="1" applyAlignment="1">
      <alignment horizontal="center"/>
    </xf>
    <xf numFmtId="0" fontId="29" fillId="12" borderId="0" xfId="0" applyFont="1" applyFill="1" applyAlignment="1">
      <alignment horizontal="center"/>
    </xf>
    <xf numFmtId="0" fontId="24" fillId="4" borderId="17" xfId="0" applyFont="1" applyFill="1" applyBorder="1" applyAlignment="1">
      <alignment horizontal="center"/>
    </xf>
    <xf numFmtId="166" fontId="24" fillId="4" borderId="17" xfId="0" applyNumberFormat="1" applyFont="1" applyFill="1" applyBorder="1" applyAlignment="1">
      <alignment horizontal="center"/>
    </xf>
    <xf numFmtId="168" fontId="24" fillId="4" borderId="17" xfId="0" applyNumberFormat="1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24" fillId="12" borderId="33" xfId="0" applyFont="1" applyFill="1" applyBorder="1" applyAlignment="1">
      <alignment horizontal="center"/>
    </xf>
    <xf numFmtId="40" fontId="8" fillId="12" borderId="4" xfId="5" applyFont="1" applyFill="1" applyBorder="1"/>
    <xf numFmtId="171" fontId="8" fillId="12" borderId="1" xfId="2" applyFont="1" applyFill="1" applyBorder="1"/>
    <xf numFmtId="171" fontId="8" fillId="12" borderId="4" xfId="2" applyFont="1" applyFill="1" applyBorder="1"/>
    <xf numFmtId="170" fontId="4" fillId="2" borderId="0" xfId="0" applyNumberFormat="1" applyFont="1" applyFill="1" applyAlignment="1">
      <alignment horizontal="justify" vertical="distributed"/>
    </xf>
    <xf numFmtId="170" fontId="4" fillId="3" borderId="0" xfId="0" applyNumberFormat="1" applyFont="1" applyFill="1" applyAlignment="1">
      <alignment horizontal="justify" vertical="distributed"/>
    </xf>
    <xf numFmtId="0" fontId="7" fillId="4" borderId="7" xfId="0" applyFont="1" applyFill="1" applyBorder="1" applyAlignment="1">
      <alignment horizontal="center"/>
    </xf>
    <xf numFmtId="168" fontId="7" fillId="4" borderId="5" xfId="0" applyNumberFormat="1" applyFont="1" applyFill="1" applyBorder="1" applyAlignment="1">
      <alignment horizontal="center"/>
    </xf>
    <xf numFmtId="168" fontId="7" fillId="4" borderId="7" xfId="0" applyNumberFormat="1" applyFont="1" applyFill="1" applyBorder="1" applyAlignment="1">
      <alignment horizontal="center"/>
    </xf>
    <xf numFmtId="171" fontId="6" fillId="4" borderId="0" xfId="2" applyFont="1" applyFill="1"/>
    <xf numFmtId="171" fontId="6" fillId="4" borderId="5" xfId="2" applyFont="1" applyFill="1" applyBorder="1"/>
    <xf numFmtId="2" fontId="7" fillId="4" borderId="0" xfId="0" applyNumberFormat="1" applyFont="1" applyFill="1"/>
    <xf numFmtId="0" fontId="4" fillId="3" borderId="0" xfId="0" applyFont="1" applyFill="1"/>
    <xf numFmtId="37" fontId="0" fillId="4" borderId="21" xfId="1" applyFont="1" applyFill="1" applyBorder="1"/>
    <xf numFmtId="2" fontId="24" fillId="4" borderId="17" xfId="0" applyNumberFormat="1" applyFont="1" applyFill="1" applyBorder="1" applyAlignment="1">
      <alignment horizontal="right" vertical="center"/>
    </xf>
    <xf numFmtId="184" fontId="8" fillId="4" borderId="17" xfId="0" applyNumberFormat="1" applyFont="1" applyFill="1" applyBorder="1" applyAlignment="1">
      <alignment horizontal="center"/>
    </xf>
    <xf numFmtId="184" fontId="12" fillId="2" borderId="0" xfId="0" applyNumberFormat="1" applyFont="1" applyFill="1" applyAlignment="1">
      <alignment horizontal="center"/>
    </xf>
    <xf numFmtId="184" fontId="12" fillId="3" borderId="0" xfId="0" applyNumberFormat="1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173" fontId="24" fillId="4" borderId="0" xfId="0" applyNumberFormat="1" applyFont="1" applyFill="1" applyAlignment="1">
      <alignment horizontal="center"/>
    </xf>
    <xf numFmtId="185" fontId="24" fillId="4" borderId="0" xfId="0" applyNumberFormat="1" applyFont="1" applyFill="1" applyAlignment="1">
      <alignment horizontal="center"/>
    </xf>
    <xf numFmtId="0" fontId="24" fillId="4" borderId="5" xfId="0" applyFont="1" applyFill="1" applyBorder="1" applyAlignment="1">
      <alignment horizontal="center"/>
    </xf>
    <xf numFmtId="10" fontId="0" fillId="2" borderId="0" xfId="0" applyNumberFormat="1" applyFill="1"/>
    <xf numFmtId="0" fontId="10" fillId="2" borderId="0" xfId="0" applyFont="1" applyFill="1" applyAlignment="1">
      <alignment horizontal="center"/>
    </xf>
    <xf numFmtId="0" fontId="18" fillId="2" borderId="18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173" fontId="24" fillId="2" borderId="18" xfId="0" applyNumberFormat="1" applyFont="1" applyFill="1" applyBorder="1" applyAlignment="1">
      <alignment vertical="center"/>
    </xf>
    <xf numFmtId="173" fontId="24" fillId="2" borderId="17" xfId="0" applyNumberFormat="1" applyFont="1" applyFill="1" applyBorder="1" applyAlignment="1">
      <alignment vertical="center"/>
    </xf>
    <xf numFmtId="173" fontId="0" fillId="2" borderId="0" xfId="0" applyNumberFormat="1" applyFill="1" applyAlignment="1">
      <alignment vertical="center"/>
    </xf>
    <xf numFmtId="173" fontId="0" fillId="3" borderId="0" xfId="0" applyNumberFormat="1" applyFill="1" applyAlignment="1">
      <alignment vertical="center"/>
    </xf>
    <xf numFmtId="0" fontId="23" fillId="2" borderId="18" xfId="0" applyFont="1" applyFill="1" applyBorder="1" applyAlignment="1">
      <alignment horizontal="center"/>
    </xf>
    <xf numFmtId="173" fontId="7" fillId="2" borderId="18" xfId="0" applyNumberFormat="1" applyFont="1" applyFill="1" applyBorder="1" applyAlignment="1">
      <alignment vertical="center"/>
    </xf>
    <xf numFmtId="0" fontId="7" fillId="2" borderId="17" xfId="0" applyFont="1" applyFill="1" applyBorder="1"/>
    <xf numFmtId="173" fontId="7" fillId="2" borderId="18" xfId="0" applyNumberFormat="1" applyFont="1" applyFill="1" applyBorder="1"/>
    <xf numFmtId="0" fontId="7" fillId="2" borderId="30" xfId="0" applyFont="1" applyFill="1" applyBorder="1"/>
    <xf numFmtId="173" fontId="7" fillId="2" borderId="17" xfId="0" applyNumberFormat="1" applyFont="1" applyFill="1" applyBorder="1"/>
    <xf numFmtId="0" fontId="11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10" fontId="8" fillId="2" borderId="18" xfId="0" applyNumberFormat="1" applyFont="1" applyFill="1" applyBorder="1" applyAlignment="1">
      <alignment vertical="center"/>
    </xf>
    <xf numFmtId="10" fontId="8" fillId="2" borderId="17" xfId="0" applyNumberFormat="1" applyFont="1" applyFill="1" applyBorder="1" applyAlignment="1">
      <alignment vertical="center"/>
    </xf>
    <xf numFmtId="0" fontId="18" fillId="10" borderId="34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/>
    </xf>
    <xf numFmtId="2" fontId="24" fillId="10" borderId="35" xfId="0" applyNumberFormat="1" applyFont="1" applyFill="1" applyBorder="1" applyAlignment="1">
      <alignment horizontal="right" vertical="center"/>
    </xf>
    <xf numFmtId="164" fontId="7" fillId="10" borderId="36" xfId="0" applyNumberFormat="1" applyFont="1" applyFill="1" applyBorder="1"/>
    <xf numFmtId="171" fontId="8" fillId="10" borderId="34" xfId="2" applyFont="1" applyFill="1" applyBorder="1"/>
    <xf numFmtId="164" fontId="24" fillId="10" borderId="36" xfId="0" applyNumberFormat="1" applyFont="1" applyFill="1" applyBorder="1"/>
    <xf numFmtId="171" fontId="8" fillId="10" borderId="36" xfId="2" applyFont="1" applyFill="1" applyBorder="1"/>
    <xf numFmtId="0" fontId="24" fillId="10" borderId="37" xfId="0" applyFont="1" applyFill="1" applyBorder="1"/>
    <xf numFmtId="0" fontId="8" fillId="10" borderId="36" xfId="0" applyFont="1" applyFill="1" applyBorder="1"/>
    <xf numFmtId="164" fontId="24" fillId="10" borderId="37" xfId="0" applyNumberFormat="1" applyFont="1" applyFill="1" applyBorder="1"/>
    <xf numFmtId="173" fontId="11" fillId="3" borderId="0" xfId="0" applyNumberFormat="1" applyFont="1" applyFill="1"/>
    <xf numFmtId="170" fontId="0" fillId="2" borderId="0" xfId="0" applyNumberFormat="1" applyFill="1" applyAlignment="1">
      <alignment vertical="top" wrapText="1"/>
    </xf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8" fillId="2" borderId="18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right" vertical="center"/>
    </xf>
    <xf numFmtId="164" fontId="8" fillId="2" borderId="17" xfId="0" applyNumberFormat="1" applyFont="1" applyFill="1" applyBorder="1" applyAlignment="1">
      <alignment vertical="center"/>
    </xf>
    <xf numFmtId="171" fontId="8" fillId="2" borderId="18" xfId="0" applyNumberFormat="1" applyFont="1" applyFill="1" applyBorder="1" applyAlignment="1">
      <alignment vertical="center"/>
    </xf>
    <xf numFmtId="10" fontId="11" fillId="2" borderId="0" xfId="0" applyNumberFormat="1" applyFont="1" applyFill="1"/>
    <xf numFmtId="10" fontId="24" fillId="2" borderId="0" xfId="0" applyNumberFormat="1" applyFont="1" applyFill="1"/>
    <xf numFmtId="171" fontId="24" fillId="2" borderId="0" xfId="0" applyNumberFormat="1" applyFont="1" applyFill="1"/>
    <xf numFmtId="177" fontId="8" fillId="2" borderId="0" xfId="5" applyNumberFormat="1" applyFont="1" applyFill="1"/>
    <xf numFmtId="171" fontId="24" fillId="2" borderId="6" xfId="0" applyNumberFormat="1" applyFont="1" applyFill="1" applyBorder="1"/>
    <xf numFmtId="171" fontId="4" fillId="2" borderId="0" xfId="0" applyNumberFormat="1" applyFont="1" applyFill="1" applyAlignment="1">
      <alignment horizontal="right"/>
    </xf>
    <xf numFmtId="171" fontId="24" fillId="4" borderId="0" xfId="0" applyNumberFormat="1" applyFont="1" applyFill="1"/>
    <xf numFmtId="171" fontId="24" fillId="4" borderId="6" xfId="0" applyNumberFormat="1" applyFont="1" applyFill="1" applyBorder="1"/>
    <xf numFmtId="0" fontId="5" fillId="2" borderId="0" xfId="0" applyFont="1" applyFill="1" applyAlignment="1">
      <alignment vertical="top" wrapText="1"/>
    </xf>
    <xf numFmtId="10" fontId="5" fillId="2" borderId="0" xfId="0" applyNumberFormat="1" applyFont="1" applyFill="1"/>
    <xf numFmtId="37" fontId="1" fillId="2" borderId="0" xfId="1" applyFill="1"/>
    <xf numFmtId="0" fontId="29" fillId="2" borderId="1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right" wrapText="1"/>
    </xf>
    <xf numFmtId="173" fontId="0" fillId="0" borderId="0" xfId="3" applyFont="1"/>
    <xf numFmtId="40" fontId="12" fillId="4" borderId="1" xfId="5" applyFill="1" applyBorder="1"/>
    <xf numFmtId="179" fontId="0" fillId="2" borderId="0" xfId="0" applyNumberFormat="1" applyFill="1"/>
    <xf numFmtId="0" fontId="8" fillId="12" borderId="0" xfId="0" applyFont="1" applyFill="1"/>
    <xf numFmtId="0" fontId="7" fillId="12" borderId="5" xfId="0" applyFont="1" applyFill="1" applyBorder="1"/>
    <xf numFmtId="171" fontId="12" fillId="12" borderId="11" xfId="2" applyFill="1" applyBorder="1"/>
    <xf numFmtId="171" fontId="12" fillId="12" borderId="12" xfId="2" applyFill="1" applyBorder="1"/>
    <xf numFmtId="0" fontId="5" fillId="3" borderId="0" xfId="0" applyFont="1" applyFill="1"/>
    <xf numFmtId="173" fontId="0" fillId="2" borderId="1" xfId="3" applyFont="1" applyFill="1" applyBorder="1"/>
    <xf numFmtId="173" fontId="0" fillId="2" borderId="11" xfId="3" applyFont="1" applyFill="1" applyBorder="1"/>
    <xf numFmtId="180" fontId="12" fillId="3" borderId="0" xfId="0" applyNumberFormat="1" applyFont="1" applyFill="1"/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8" borderId="11" xfId="0" applyFont="1" applyFill="1" applyBorder="1"/>
    <xf numFmtId="0" fontId="8" fillId="4" borderId="0" xfId="0" applyFont="1" applyFill="1" applyAlignment="1">
      <alignment horizontal="left" vertical="top" wrapText="1"/>
    </xf>
    <xf numFmtId="165" fontId="24" fillId="4" borderId="0" xfId="0" applyNumberFormat="1" applyFont="1" applyFill="1" applyAlignment="1">
      <alignment vertical="center" wrapText="1"/>
    </xf>
    <xf numFmtId="0" fontId="24" fillId="4" borderId="6" xfId="0" applyFont="1" applyFill="1" applyBorder="1" applyAlignment="1">
      <alignment horizontal="center" vertical="center" wrapText="1"/>
    </xf>
    <xf numFmtId="165" fontId="33" fillId="11" borderId="0" xfId="0" applyNumberFormat="1" applyFont="1" applyFill="1" applyAlignment="1">
      <alignment vertical="center" wrapText="1"/>
    </xf>
    <xf numFmtId="0" fontId="29" fillId="2" borderId="15" xfId="0" applyFont="1" applyFill="1" applyBorder="1" applyAlignment="1">
      <alignment horizontal="center"/>
    </xf>
    <xf numFmtId="0" fontId="31" fillId="2" borderId="16" xfId="0" applyFont="1" applyFill="1" applyBorder="1" applyAlignment="1">
      <alignment horizontal="right" wrapText="1"/>
    </xf>
    <xf numFmtId="0" fontId="3" fillId="2" borderId="0" xfId="0" applyFont="1" applyFill="1" applyAlignment="1">
      <alignment horizontal="right"/>
    </xf>
    <xf numFmtId="0" fontId="8" fillId="2" borderId="17" xfId="0" applyFont="1" applyFill="1" applyBorder="1" applyAlignment="1">
      <alignment horizontal="left" vertical="top" wrapText="1"/>
    </xf>
    <xf numFmtId="166" fontId="24" fillId="2" borderId="17" xfId="0" applyNumberFormat="1" applyFont="1" applyFill="1" applyBorder="1" applyAlignment="1">
      <alignment vertical="center" wrapText="1"/>
    </xf>
    <xf numFmtId="0" fontId="24" fillId="2" borderId="30" xfId="0" applyFont="1" applyFill="1" applyBorder="1" applyAlignment="1">
      <alignment horizontal="center" vertical="center" wrapText="1"/>
    </xf>
    <xf numFmtId="166" fontId="33" fillId="9" borderId="39" xfId="0" applyNumberFormat="1" applyFont="1" applyFill="1" applyBorder="1" applyAlignment="1">
      <alignment vertical="center" wrapText="1"/>
    </xf>
    <xf numFmtId="172" fontId="24" fillId="2" borderId="17" xfId="0" applyNumberFormat="1" applyFont="1" applyFill="1" applyBorder="1" applyAlignment="1">
      <alignment vertical="center" wrapText="1"/>
    </xf>
    <xf numFmtId="0" fontId="18" fillId="12" borderId="17" xfId="0" applyFont="1" applyFill="1" applyBorder="1" applyAlignment="1">
      <alignment horizontal="center"/>
    </xf>
    <xf numFmtId="0" fontId="34" fillId="12" borderId="17" xfId="0" applyFont="1" applyFill="1" applyBorder="1"/>
    <xf numFmtId="0" fontId="8" fillId="12" borderId="18" xfId="0" applyFont="1" applyFill="1" applyBorder="1"/>
    <xf numFmtId="171" fontId="8" fillId="12" borderId="21" xfId="2" applyFont="1" applyFill="1" applyBorder="1"/>
    <xf numFmtId="171" fontId="8" fillId="12" borderId="22" xfId="2" applyFont="1" applyFill="1" applyBorder="1"/>
    <xf numFmtId="0" fontId="11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35" fillId="2" borderId="0" xfId="0" applyFont="1" applyFill="1"/>
    <xf numFmtId="165" fontId="11" fillId="2" borderId="0" xfId="0" applyNumberFormat="1" applyFont="1" applyFill="1" applyAlignment="1">
      <alignment horizontal="right"/>
    </xf>
    <xf numFmtId="0" fontId="36" fillId="2" borderId="0" xfId="0" applyFont="1" applyFill="1"/>
    <xf numFmtId="0" fontId="2" fillId="2" borderId="0" xfId="0" applyFont="1" applyFill="1" applyAlignment="1">
      <alignment horizontal="center" vertical="top"/>
    </xf>
    <xf numFmtId="175" fontId="0" fillId="3" borderId="0" xfId="0" applyNumberFormat="1" applyFill="1"/>
    <xf numFmtId="166" fontId="36" fillId="2" borderId="0" xfId="0" applyNumberFormat="1" applyFont="1" applyFill="1"/>
    <xf numFmtId="164" fontId="36" fillId="2" borderId="0" xfId="0" applyNumberFormat="1" applyFont="1" applyFill="1"/>
    <xf numFmtId="173" fontId="36" fillId="2" borderId="0" xfId="0" applyNumberFormat="1" applyFont="1" applyFill="1"/>
    <xf numFmtId="171" fontId="12" fillId="2" borderId="0" xfId="0" applyNumberFormat="1" applyFont="1" applyFill="1"/>
    <xf numFmtId="10" fontId="12" fillId="2" borderId="0" xfId="3" applyNumberFormat="1" applyFont="1" applyFill="1"/>
    <xf numFmtId="10" fontId="12" fillId="2" borderId="0" xfId="0" applyNumberFormat="1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top"/>
    </xf>
    <xf numFmtId="0" fontId="6" fillId="13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top"/>
    </xf>
    <xf numFmtId="0" fontId="7" fillId="13" borderId="0" xfId="0" applyFont="1" applyFill="1"/>
    <xf numFmtId="0" fontId="7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7" fillId="0" borderId="0" xfId="0" applyFont="1"/>
    <xf numFmtId="0" fontId="15" fillId="5" borderId="1" xfId="0" applyFont="1" applyFill="1" applyBorder="1"/>
    <xf numFmtId="0" fontId="15" fillId="5" borderId="1" xfId="0" applyFont="1" applyFill="1" applyBorder="1" applyAlignment="1">
      <alignment horizontal="center" wrapText="1"/>
    </xf>
    <xf numFmtId="0" fontId="3" fillId="13" borderId="0" xfId="0" applyFont="1" applyFill="1" applyAlignment="1">
      <alignment horizontal="center" vertical="center" wrapText="1"/>
    </xf>
    <xf numFmtId="0" fontId="7" fillId="5" borderId="1" xfId="0" applyFont="1" applyFill="1" applyBorder="1"/>
    <xf numFmtId="166" fontId="14" fillId="5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13" borderId="0" xfId="0" applyFill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15" fillId="5" borderId="9" xfId="0" applyFont="1" applyFill="1" applyBorder="1"/>
    <xf numFmtId="0" fontId="0" fillId="13" borderId="0" xfId="0" applyFill="1"/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/>
    </xf>
    <xf numFmtId="2" fontId="14" fillId="5" borderId="1" xfId="0" applyNumberFormat="1" applyFont="1" applyFill="1" applyBorder="1" applyAlignment="1">
      <alignment horizontal="center" vertical="center" wrapText="1"/>
    </xf>
    <xf numFmtId="2" fontId="14" fillId="14" borderId="1" xfId="0" applyNumberFormat="1" applyFont="1" applyFill="1" applyBorder="1" applyAlignment="1">
      <alignment horizontal="center" vertical="center" wrapText="1"/>
    </xf>
    <xf numFmtId="0" fontId="15" fillId="14" borderId="1" xfId="0" applyFont="1" applyFill="1" applyBorder="1"/>
    <xf numFmtId="2" fontId="14" fillId="14" borderId="0" xfId="0" applyNumberFormat="1" applyFont="1" applyFill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 wrapText="1"/>
    </xf>
    <xf numFmtId="0" fontId="2" fillId="13" borderId="0" xfId="0" applyFont="1" applyFill="1" applyAlignment="1">
      <alignment horizontal="center" vertical="center"/>
    </xf>
    <xf numFmtId="2" fontId="18" fillId="0" borderId="0" xfId="0" applyNumberFormat="1" applyFont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/>
    </xf>
    <xf numFmtId="0" fontId="2" fillId="13" borderId="0" xfId="0" quotePrefix="1" applyFont="1" applyFill="1" applyAlignment="1">
      <alignment horizontal="center" vertical="center"/>
    </xf>
    <xf numFmtId="0" fontId="18" fillId="2" borderId="0" xfId="0" quotePrefix="1" applyFont="1" applyFill="1" applyAlignment="1">
      <alignment horizontal="center" vertical="center" wrapText="1"/>
    </xf>
    <xf numFmtId="0" fontId="0" fillId="13" borderId="0" xfId="0" applyFill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/>
    </xf>
    <xf numFmtId="173" fontId="0" fillId="10" borderId="0" xfId="3" applyFont="1" applyFill="1"/>
    <xf numFmtId="0" fontId="18" fillId="10" borderId="0" xfId="0" applyFont="1" applyFill="1" applyAlignment="1">
      <alignment horizontal="center" vertical="top"/>
    </xf>
    <xf numFmtId="164" fontId="0" fillId="2" borderId="0" xfId="0" applyNumberFormat="1" applyFill="1" applyAlignment="1">
      <alignment horizontal="right" wrapText="1"/>
    </xf>
    <xf numFmtId="164" fontId="0" fillId="13" borderId="0" xfId="0" applyNumberFormat="1" applyFill="1" applyAlignment="1">
      <alignment horizontal="right" wrapText="1"/>
    </xf>
    <xf numFmtId="40" fontId="12" fillId="10" borderId="0" xfId="5" applyFill="1"/>
    <xf numFmtId="188" fontId="0" fillId="2" borderId="0" xfId="0" applyNumberFormat="1" applyFill="1" applyAlignment="1">
      <alignment wrapText="1"/>
    </xf>
    <xf numFmtId="177" fontId="8" fillId="10" borderId="0" xfId="5" applyNumberFormat="1" applyFont="1" applyFill="1"/>
    <xf numFmtId="0" fontId="18" fillId="2" borderId="0" xfId="0" applyFont="1" applyFill="1" applyAlignment="1">
      <alignment horizontal="center" vertical="top"/>
    </xf>
    <xf numFmtId="166" fontId="0" fillId="2" borderId="0" xfId="0" applyNumberFormat="1" applyFill="1" applyAlignment="1">
      <alignment vertical="top"/>
    </xf>
    <xf numFmtId="40" fontId="12" fillId="0" borderId="0" xfId="5"/>
    <xf numFmtId="173" fontId="0" fillId="0" borderId="15" xfId="3" applyFont="1" applyBorder="1"/>
    <xf numFmtId="177" fontId="8" fillId="0" borderId="0" xfId="5" applyNumberFormat="1" applyFont="1"/>
    <xf numFmtId="0" fontId="31" fillId="10" borderId="0" xfId="0" applyFont="1" applyFill="1" applyAlignment="1">
      <alignment vertical="top" wrapText="1"/>
    </xf>
    <xf numFmtId="164" fontId="4" fillId="2" borderId="0" xfId="0" applyNumberFormat="1" applyFont="1" applyFill="1" applyAlignment="1">
      <alignment horizontal="right" wrapText="1"/>
    </xf>
    <xf numFmtId="164" fontId="4" fillId="13" borderId="0" xfId="0" applyNumberFormat="1" applyFont="1" applyFill="1" applyAlignment="1">
      <alignment horizontal="right" wrapText="1"/>
    </xf>
    <xf numFmtId="0" fontId="18" fillId="10" borderId="21" xfId="0" applyFont="1" applyFill="1" applyBorder="1" applyAlignment="1">
      <alignment horizontal="center"/>
    </xf>
    <xf numFmtId="0" fontId="8" fillId="10" borderId="17" xfId="0" applyFont="1" applyFill="1" applyBorder="1"/>
    <xf numFmtId="0" fontId="18" fillId="10" borderId="15" xfId="0" applyFont="1" applyFill="1" applyBorder="1" applyAlignment="1">
      <alignment horizontal="center"/>
    </xf>
    <xf numFmtId="0" fontId="18" fillId="10" borderId="17" xfId="0" applyFont="1" applyFill="1" applyBorder="1" applyAlignment="1">
      <alignment horizontal="center"/>
    </xf>
    <xf numFmtId="0" fontId="24" fillId="10" borderId="17" xfId="0" applyFont="1" applyFill="1" applyBorder="1" applyAlignment="1">
      <alignment horizontal="left" wrapText="1"/>
    </xf>
    <xf numFmtId="171" fontId="8" fillId="10" borderId="17" xfId="2" applyFont="1" applyFill="1" applyBorder="1"/>
    <xf numFmtId="170" fontId="4" fillId="2" borderId="0" xfId="0" applyNumberFormat="1" applyFont="1" applyFill="1"/>
    <xf numFmtId="0" fontId="24" fillId="10" borderId="17" xfId="0" applyFont="1" applyFill="1" applyBorder="1"/>
    <xf numFmtId="189" fontId="8" fillId="10" borderId="17" xfId="0" applyNumberFormat="1" applyFont="1" applyFill="1" applyBorder="1" applyAlignment="1">
      <alignment horizontal="right" vertical="center" wrapText="1"/>
    </xf>
    <xf numFmtId="173" fontId="7" fillId="10" borderId="40" xfId="3" applyFont="1" applyFill="1" applyBorder="1"/>
    <xf numFmtId="187" fontId="8" fillId="10" borderId="17" xfId="2" applyNumberFormat="1" applyFont="1" applyFill="1" applyBorder="1"/>
    <xf numFmtId="0" fontId="18" fillId="2" borderId="17" xfId="0" applyFont="1" applyFill="1" applyBorder="1" applyAlignment="1">
      <alignment horizontal="center" vertical="top"/>
    </xf>
    <xf numFmtId="0" fontId="31" fillId="2" borderId="17" xfId="0" applyFont="1" applyFill="1" applyBorder="1" applyAlignment="1">
      <alignment vertical="top" wrapText="1"/>
    </xf>
    <xf numFmtId="0" fontId="24" fillId="2" borderId="17" xfId="0" applyFont="1" applyFill="1" applyBorder="1"/>
    <xf numFmtId="0" fontId="8" fillId="2" borderId="18" xfId="0" applyFont="1" applyFill="1" applyBorder="1" applyAlignment="1">
      <alignment vertical="center"/>
    </xf>
    <xf numFmtId="0" fontId="18" fillId="0" borderId="17" xfId="0" applyFont="1" applyBorder="1" applyAlignment="1">
      <alignment horizontal="center"/>
    </xf>
    <xf numFmtId="173" fontId="24" fillId="2" borderId="17" xfId="3" applyFont="1" applyFill="1" applyBorder="1" applyAlignment="1">
      <alignment horizontal="center"/>
    </xf>
    <xf numFmtId="173" fontId="24" fillId="0" borderId="17" xfId="3" applyFont="1" applyBorder="1" applyAlignment="1">
      <alignment horizontal="center"/>
    </xf>
    <xf numFmtId="171" fontId="8" fillId="0" borderId="17" xfId="2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 vertical="top"/>
    </xf>
    <xf numFmtId="40" fontId="12" fillId="0" borderId="15" xfId="5" applyBorder="1"/>
    <xf numFmtId="177" fontId="8" fillId="2" borderId="15" xfId="5" applyNumberFormat="1" applyFont="1" applyFill="1" applyBorder="1"/>
    <xf numFmtId="177" fontId="8" fillId="0" borderId="15" xfId="5" applyNumberFormat="1" applyFont="1" applyBorder="1"/>
    <xf numFmtId="0" fontId="11" fillId="13" borderId="0" xfId="0" applyFont="1" applyFill="1"/>
    <xf numFmtId="0" fontId="18" fillId="10" borderId="17" xfId="0" applyFont="1" applyFill="1" applyBorder="1" applyAlignment="1">
      <alignment horizontal="center" vertical="top"/>
    </xf>
    <xf numFmtId="0" fontId="7" fillId="10" borderId="17" xfId="0" applyFont="1" applyFill="1" applyBorder="1"/>
    <xf numFmtId="166" fontId="8" fillId="10" borderId="17" xfId="0" applyNumberFormat="1" applyFont="1" applyFill="1" applyBorder="1" applyAlignment="1">
      <alignment vertical="center"/>
    </xf>
    <xf numFmtId="0" fontId="4" fillId="10" borderId="17" xfId="0" applyFont="1" applyFill="1" applyBorder="1"/>
    <xf numFmtId="0" fontId="10" fillId="10" borderId="17" xfId="0" applyFont="1" applyFill="1" applyBorder="1" applyAlignment="1">
      <alignment horizontal="center" vertical="center"/>
    </xf>
    <xf numFmtId="0" fontId="20" fillId="10" borderId="17" xfId="0" applyFont="1" applyFill="1" applyBorder="1" applyAlignment="1">
      <alignment horizontal="center" vertical="top"/>
    </xf>
    <xf numFmtId="0" fontId="31" fillId="10" borderId="17" xfId="0" applyFont="1" applyFill="1" applyBorder="1" applyAlignment="1">
      <alignment horizontal="left" vertical="top" wrapText="1"/>
    </xf>
    <xf numFmtId="168" fontId="8" fillId="10" borderId="17" xfId="0" applyNumberFormat="1" applyFont="1" applyFill="1" applyBorder="1" applyAlignment="1">
      <alignment vertical="center"/>
    </xf>
    <xf numFmtId="187" fontId="8" fillId="10" borderId="17" xfId="0" applyNumberFormat="1" applyFont="1" applyFill="1" applyBorder="1"/>
    <xf numFmtId="171" fontId="8" fillId="10" borderId="21" xfId="2" applyFont="1" applyFill="1" applyBorder="1"/>
    <xf numFmtId="173" fontId="4" fillId="10" borderId="21" xfId="3" applyFont="1" applyFill="1" applyBorder="1"/>
    <xf numFmtId="40" fontId="11" fillId="10" borderId="21" xfId="5" applyFont="1" applyFill="1" applyBorder="1"/>
    <xf numFmtId="0" fontId="39" fillId="10" borderId="17" xfId="0" applyFont="1" applyFill="1" applyBorder="1" applyAlignment="1">
      <alignment horizontal="center"/>
    </xf>
    <xf numFmtId="0" fontId="31" fillId="10" borderId="17" xfId="0" applyFont="1" applyFill="1" applyBorder="1" applyAlignment="1">
      <alignment horizontal="left" wrapText="1"/>
    </xf>
    <xf numFmtId="173" fontId="31" fillId="10" borderId="17" xfId="0" applyNumberFormat="1" applyFont="1" applyFill="1" applyBorder="1" applyAlignment="1">
      <alignment horizontal="right" wrapText="1"/>
    </xf>
    <xf numFmtId="171" fontId="24" fillId="10" borderId="40" xfId="0" applyNumberFormat="1" applyFont="1" applyFill="1" applyBorder="1"/>
    <xf numFmtId="40" fontId="8" fillId="10" borderId="17" xfId="5" applyFont="1" applyFill="1" applyBorder="1"/>
    <xf numFmtId="173" fontId="24" fillId="10" borderId="17" xfId="3" applyFont="1" applyFill="1" applyBorder="1"/>
    <xf numFmtId="0" fontId="11" fillId="10" borderId="17" xfId="0" applyFont="1" applyFill="1" applyBorder="1"/>
    <xf numFmtId="0" fontId="20" fillId="10" borderId="17" xfId="0" applyFont="1" applyFill="1" applyBorder="1" applyAlignment="1">
      <alignment horizontal="center" vertical="center"/>
    </xf>
    <xf numFmtId="177" fontId="8" fillId="10" borderId="17" xfId="5" applyNumberFormat="1" applyFont="1" applyFill="1" applyBorder="1"/>
    <xf numFmtId="0" fontId="31" fillId="10" borderId="17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166" fontId="8" fillId="10" borderId="17" xfId="0" applyNumberFormat="1" applyFont="1" applyFill="1" applyBorder="1" applyAlignment="1">
      <alignment horizontal="right" vertical="center" wrapText="1"/>
    </xf>
    <xf numFmtId="188" fontId="11" fillId="2" borderId="0" xfId="0" applyNumberFormat="1" applyFont="1" applyFill="1" applyAlignment="1">
      <alignment horizontal="right" vertical="center" wrapText="1"/>
    </xf>
    <xf numFmtId="0" fontId="31" fillId="10" borderId="17" xfId="0" applyFont="1" applyFill="1" applyBorder="1" applyAlignment="1">
      <alignment horizontal="center" wrapText="1"/>
    </xf>
    <xf numFmtId="166" fontId="8" fillId="10" borderId="17" xfId="0" applyNumberFormat="1" applyFont="1" applyFill="1" applyBorder="1"/>
    <xf numFmtId="177" fontId="8" fillId="10" borderId="29" xfId="5" applyNumberFormat="1" applyFont="1" applyFill="1" applyBorder="1" applyAlignment="1">
      <alignment horizontal="center"/>
    </xf>
    <xf numFmtId="177" fontId="8" fillId="10" borderId="17" xfId="5" applyNumberFormat="1" applyFont="1" applyFill="1" applyBorder="1" applyAlignment="1">
      <alignment horizontal="center"/>
    </xf>
    <xf numFmtId="173" fontId="24" fillId="10" borderId="17" xfId="3" applyFont="1" applyFill="1" applyBorder="1" applyAlignment="1">
      <alignment horizontal="center"/>
    </xf>
    <xf numFmtId="40" fontId="8" fillId="10" borderId="17" xfId="5" applyFont="1" applyFill="1" applyBorder="1" applyAlignment="1">
      <alignment horizontal="center"/>
    </xf>
    <xf numFmtId="0" fontId="18" fillId="10" borderId="21" xfId="0" applyFont="1" applyFill="1" applyBorder="1" applyAlignment="1">
      <alignment horizontal="center" vertical="top"/>
    </xf>
    <xf numFmtId="170" fontId="8" fillId="10" borderId="17" xfId="2" applyNumberFormat="1" applyFont="1" applyFill="1" applyBorder="1"/>
    <xf numFmtId="192" fontId="8" fillId="10" borderId="17" xfId="5" applyNumberFormat="1" applyFont="1" applyFill="1" applyBorder="1" applyAlignment="1">
      <alignment horizontal="right"/>
    </xf>
    <xf numFmtId="177" fontId="11" fillId="10" borderId="17" xfId="5" applyNumberFormat="1" applyFont="1" applyFill="1" applyBorder="1"/>
    <xf numFmtId="0" fontId="0" fillId="13" borderId="0" xfId="0" applyFill="1" applyAlignment="1">
      <alignment vertical="top"/>
    </xf>
    <xf numFmtId="0" fontId="10" fillId="2" borderId="0" xfId="0" applyFont="1" applyFill="1" applyAlignment="1">
      <alignment horizontal="center" vertical="top"/>
    </xf>
    <xf numFmtId="168" fontId="0" fillId="2" borderId="0" xfId="0" applyNumberFormat="1" applyFill="1" applyAlignment="1">
      <alignment vertical="top"/>
    </xf>
    <xf numFmtId="0" fontId="4" fillId="2" borderId="0" xfId="0" applyFont="1" applyFill="1" applyAlignment="1">
      <alignment vertical="top"/>
    </xf>
    <xf numFmtId="165" fontId="0" fillId="2" borderId="0" xfId="0" applyNumberFormat="1" applyFill="1" applyAlignment="1">
      <alignment vertical="top"/>
    </xf>
    <xf numFmtId="0" fontId="0" fillId="15" borderId="0" xfId="0" applyFill="1" applyAlignment="1">
      <alignment vertical="top"/>
    </xf>
    <xf numFmtId="0" fontId="0" fillId="15" borderId="0" xfId="0" applyFill="1" applyAlignment="1">
      <alignment horizontal="center" vertical="top"/>
    </xf>
    <xf numFmtId="0" fontId="0" fillId="15" borderId="0" xfId="0" applyFill="1"/>
    <xf numFmtId="0" fontId="0" fillId="15" borderId="0" xfId="0" applyFill="1" applyAlignment="1">
      <alignment wrapText="1"/>
    </xf>
    <xf numFmtId="0" fontId="28" fillId="15" borderId="0" xfId="0" applyFont="1" applyFill="1" applyAlignment="1">
      <alignment horizontal="center" wrapText="1"/>
    </xf>
    <xf numFmtId="0" fontId="0" fillId="15" borderId="0" xfId="0" applyFill="1" applyAlignment="1">
      <alignment horizontal="center"/>
    </xf>
    <xf numFmtId="194" fontId="0" fillId="2" borderId="0" xfId="0" applyNumberFormat="1" applyFill="1"/>
    <xf numFmtId="194" fontId="0" fillId="13" borderId="0" xfId="0" applyNumberFormat="1" applyFill="1"/>
    <xf numFmtId="166" fontId="14" fillId="16" borderId="0" xfId="4" applyFont="1" applyFill="1" applyBorder="1">
      <alignment horizontal="center" vertical="center" wrapText="1"/>
    </xf>
    <xf numFmtId="0" fontId="7" fillId="16" borderId="0" xfId="0" applyFont="1" applyFill="1"/>
    <xf numFmtId="0" fontId="14" fillId="16" borderId="0" xfId="0" applyFont="1" applyFill="1" applyAlignment="1">
      <alignment vertical="center"/>
    </xf>
    <xf numFmtId="0" fontId="15" fillId="16" borderId="0" xfId="0" applyFont="1" applyFill="1" applyAlignment="1">
      <alignment vertical="center"/>
    </xf>
    <xf numFmtId="0" fontId="16" fillId="16" borderId="0" xfId="0" applyFont="1" applyFill="1" applyAlignment="1">
      <alignment vertical="center"/>
    </xf>
    <xf numFmtId="0" fontId="15" fillId="16" borderId="5" xfId="0" applyFont="1" applyFill="1" applyBorder="1" applyAlignment="1">
      <alignment vertical="center"/>
    </xf>
    <xf numFmtId="0" fontId="7" fillId="16" borderId="0" xfId="0" applyFont="1" applyFill="1" applyAlignment="1">
      <alignment vertical="center"/>
    </xf>
    <xf numFmtId="0" fontId="8" fillId="16" borderId="0" xfId="0" applyFont="1" applyFill="1" applyAlignment="1">
      <alignment vertical="center"/>
    </xf>
    <xf numFmtId="0" fontId="17" fillId="16" borderId="0" xfId="0" applyFont="1" applyFill="1" applyAlignment="1">
      <alignment vertical="center" wrapText="1"/>
    </xf>
    <xf numFmtId="0" fontId="7" fillId="16" borderId="0" xfId="0" applyFont="1" applyFill="1" applyAlignment="1">
      <alignment vertical="center" wrapText="1"/>
    </xf>
    <xf numFmtId="166" fontId="14" fillId="16" borderId="0" xfId="0" applyNumberFormat="1" applyFont="1" applyFill="1" applyAlignment="1">
      <alignment vertical="center"/>
    </xf>
    <xf numFmtId="0" fontId="15" fillId="16" borderId="0" xfId="0" applyFont="1" applyFill="1" applyAlignment="1">
      <alignment horizontal="left" vertical="center" wrapText="1"/>
    </xf>
    <xf numFmtId="0" fontId="40" fillId="10" borderId="0" xfId="0" applyFont="1" applyFill="1" applyAlignment="1">
      <alignment horizontal="left" wrapText="1"/>
    </xf>
    <xf numFmtId="171" fontId="26" fillId="10" borderId="0" xfId="2" applyFont="1" applyFill="1"/>
    <xf numFmtId="173" fontId="40" fillId="10" borderId="0" xfId="3" applyFont="1" applyFill="1" applyAlignment="1">
      <alignment horizontal="center"/>
    </xf>
    <xf numFmtId="40" fontId="26" fillId="10" borderId="0" xfId="5" applyFont="1" applyFill="1" applyAlignment="1">
      <alignment horizontal="center"/>
    </xf>
    <xf numFmtId="0" fontId="26" fillId="2" borderId="0" xfId="0" applyFont="1" applyFill="1" applyAlignment="1">
      <alignment horizontal="left" wrapText="1"/>
    </xf>
    <xf numFmtId="171" fontId="26" fillId="2" borderId="0" xfId="2" applyFont="1" applyFill="1"/>
    <xf numFmtId="173" fontId="40" fillId="2" borderId="0" xfId="3" applyFont="1" applyFill="1" applyAlignment="1">
      <alignment horizontal="center"/>
    </xf>
    <xf numFmtId="40" fontId="26" fillId="2" borderId="0" xfId="5" applyFont="1" applyFill="1" applyAlignment="1">
      <alignment horizontal="center"/>
    </xf>
    <xf numFmtId="0" fontId="40" fillId="2" borderId="0" xfId="0" applyFont="1" applyFill="1" applyAlignment="1">
      <alignment horizontal="left" wrapText="1"/>
    </xf>
    <xf numFmtId="0" fontId="41" fillId="10" borderId="0" xfId="0" applyFont="1" applyFill="1" applyAlignment="1">
      <alignment horizontal="center" vertical="center"/>
    </xf>
    <xf numFmtId="0" fontId="40" fillId="10" borderId="0" xfId="0" applyFont="1" applyFill="1"/>
    <xf numFmtId="166" fontId="26" fillId="10" borderId="0" xfId="0" applyNumberFormat="1" applyFont="1" applyFill="1"/>
    <xf numFmtId="173" fontId="40" fillId="10" borderId="0" xfId="3" applyFont="1" applyFill="1"/>
    <xf numFmtId="0" fontId="40" fillId="10" borderId="0" xfId="0" applyFont="1" applyFill="1" applyAlignment="1">
      <alignment horizontal="center"/>
    </xf>
    <xf numFmtId="0" fontId="41" fillId="2" borderId="0" xfId="0" applyFont="1" applyFill="1" applyAlignment="1">
      <alignment horizontal="center" vertical="center"/>
    </xf>
    <xf numFmtId="0" fontId="40" fillId="2" borderId="0" xfId="0" applyFont="1" applyFill="1"/>
    <xf numFmtId="166" fontId="26" fillId="2" borderId="0" xfId="0" applyNumberFormat="1" applyFont="1" applyFill="1"/>
    <xf numFmtId="173" fontId="40" fillId="0" borderId="0" xfId="3" applyFont="1"/>
    <xf numFmtId="0" fontId="40" fillId="2" borderId="0" xfId="0" applyFont="1" applyFill="1" applyAlignment="1">
      <alignment horizontal="center"/>
    </xf>
    <xf numFmtId="0" fontId="41" fillId="2" borderId="15" xfId="0" applyFont="1" applyFill="1" applyBorder="1" applyAlignment="1">
      <alignment horizontal="center" vertical="center"/>
    </xf>
    <xf numFmtId="0" fontId="40" fillId="2" borderId="15" xfId="0" applyFont="1" applyFill="1" applyBorder="1"/>
    <xf numFmtId="166" fontId="26" fillId="2" borderId="15" xfId="0" applyNumberFormat="1" applyFont="1" applyFill="1" applyBorder="1"/>
    <xf numFmtId="173" fontId="40" fillId="0" borderId="15" xfId="3" applyFont="1" applyBorder="1"/>
    <xf numFmtId="0" fontId="40" fillId="2" borderId="15" xfId="0" applyFont="1" applyFill="1" applyBorder="1" applyAlignment="1">
      <alignment horizontal="center"/>
    </xf>
    <xf numFmtId="0" fontId="41" fillId="10" borderId="0" xfId="0" applyFont="1" applyFill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171" fontId="26" fillId="0" borderId="0" xfId="2" applyFont="1"/>
    <xf numFmtId="0" fontId="41" fillId="2" borderId="15" xfId="0" applyFont="1" applyFill="1" applyBorder="1" applyAlignment="1">
      <alignment horizontal="center" vertical="center" wrapText="1"/>
    </xf>
    <xf numFmtId="171" fontId="26" fillId="0" borderId="15" xfId="2" applyFont="1" applyBorder="1"/>
    <xf numFmtId="0" fontId="42" fillId="10" borderId="17" xfId="0" applyFont="1" applyFill="1" applyBorder="1" applyAlignment="1">
      <alignment horizontal="center" vertical="center"/>
    </xf>
    <xf numFmtId="0" fontId="43" fillId="10" borderId="17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vertical="top"/>
    </xf>
    <xf numFmtId="0" fontId="40" fillId="2" borderId="0" xfId="0" applyFont="1" applyFill="1" applyAlignment="1">
      <alignment horizontal="center" vertical="top"/>
    </xf>
    <xf numFmtId="0" fontId="40" fillId="10" borderId="0" xfId="0" applyFont="1" applyFill="1" applyAlignment="1">
      <alignment horizontal="center" vertical="center"/>
    </xf>
    <xf numFmtId="166" fontId="40" fillId="10" borderId="0" xfId="0" applyNumberFormat="1" applyFont="1" applyFill="1"/>
    <xf numFmtId="2" fontId="40" fillId="10" borderId="0" xfId="0" applyNumberFormat="1" applyFont="1" applyFill="1"/>
    <xf numFmtId="0" fontId="40" fillId="2" borderId="0" xfId="0" applyFont="1" applyFill="1" applyAlignment="1">
      <alignment horizontal="center" vertical="center"/>
    </xf>
    <xf numFmtId="166" fontId="40" fillId="2" borderId="0" xfId="0" applyNumberFormat="1" applyFont="1" applyFill="1"/>
    <xf numFmtId="2" fontId="40" fillId="2" borderId="0" xfId="0" applyNumberFormat="1" applyFont="1" applyFill="1"/>
    <xf numFmtId="0" fontId="40" fillId="2" borderId="17" xfId="0" applyFont="1" applyFill="1" applyBorder="1" applyAlignment="1">
      <alignment horizontal="center" vertical="center"/>
    </xf>
    <xf numFmtId="166" fontId="40" fillId="2" borderId="17" xfId="0" applyNumberFormat="1" applyFont="1" applyFill="1" applyBorder="1"/>
    <xf numFmtId="2" fontId="40" fillId="2" borderId="17" xfId="0" applyNumberFormat="1" applyFont="1" applyFill="1" applyBorder="1"/>
    <xf numFmtId="0" fontId="41" fillId="10" borderId="0" xfId="0" applyFont="1" applyFill="1" applyAlignment="1">
      <alignment vertical="top" wrapText="1"/>
    </xf>
    <xf numFmtId="0" fontId="41" fillId="2" borderId="0" xfId="0" applyFont="1" applyFill="1" applyAlignment="1">
      <alignment vertical="top" wrapText="1"/>
    </xf>
    <xf numFmtId="164" fontId="40" fillId="10" borderId="0" xfId="0" applyNumberFormat="1" applyFont="1" applyFill="1" applyAlignment="1">
      <alignment vertical="top"/>
    </xf>
    <xf numFmtId="3" fontId="26" fillId="2" borderId="0" xfId="0" applyNumberFormat="1" applyFont="1" applyFill="1" applyAlignment="1">
      <alignment vertical="top"/>
    </xf>
    <xf numFmtId="193" fontId="40" fillId="10" borderId="0" xfId="0" applyNumberFormat="1" applyFont="1" applyFill="1" applyAlignment="1">
      <alignment vertical="top"/>
    </xf>
    <xf numFmtId="4" fontId="40" fillId="2" borderId="17" xfId="0" applyNumberFormat="1" applyFont="1" applyFill="1" applyBorder="1" applyAlignment="1">
      <alignment vertical="top"/>
    </xf>
    <xf numFmtId="0" fontId="41" fillId="10" borderId="0" xfId="0" applyFont="1" applyFill="1" applyAlignment="1">
      <alignment horizontal="center" vertical="top" wrapText="1"/>
    </xf>
    <xf numFmtId="166" fontId="40" fillId="10" borderId="0" xfId="0" applyNumberFormat="1" applyFont="1" applyFill="1" applyAlignment="1">
      <alignment vertical="top"/>
    </xf>
    <xf numFmtId="172" fontId="40" fillId="10" borderId="0" xfId="0" applyNumberFormat="1" applyFont="1" applyFill="1" applyAlignment="1">
      <alignment vertical="top"/>
    </xf>
    <xf numFmtId="187" fontId="40" fillId="10" borderId="0" xfId="0" applyNumberFormat="1" applyFont="1" applyFill="1"/>
    <xf numFmtId="0" fontId="41" fillId="2" borderId="0" xfId="0" applyFont="1" applyFill="1" applyAlignment="1">
      <alignment horizontal="center" vertical="top" wrapText="1"/>
    </xf>
    <xf numFmtId="166" fontId="40" fillId="2" borderId="0" xfId="0" applyNumberFormat="1" applyFont="1" applyFill="1" applyAlignment="1">
      <alignment vertical="top"/>
    </xf>
    <xf numFmtId="172" fontId="40" fillId="2" borderId="0" xfId="0" applyNumberFormat="1" applyFont="1" applyFill="1" applyAlignment="1">
      <alignment vertical="top"/>
    </xf>
    <xf numFmtId="187" fontId="40" fillId="2" borderId="0" xfId="0" applyNumberFormat="1" applyFont="1" applyFill="1"/>
    <xf numFmtId="0" fontId="41" fillId="2" borderId="15" xfId="0" applyFont="1" applyFill="1" applyBorder="1" applyAlignment="1">
      <alignment horizontal="center" vertical="top" wrapText="1"/>
    </xf>
    <xf numFmtId="166" fontId="40" fillId="2" borderId="15" xfId="0" applyNumberFormat="1" applyFont="1" applyFill="1" applyBorder="1" applyAlignment="1">
      <alignment vertical="top"/>
    </xf>
    <xf numFmtId="172" fontId="40" fillId="2" borderId="15" xfId="0" applyNumberFormat="1" applyFont="1" applyFill="1" applyBorder="1" applyAlignment="1">
      <alignment vertical="top"/>
    </xf>
    <xf numFmtId="187" fontId="40" fillId="2" borderId="15" xfId="0" applyNumberFormat="1" applyFont="1" applyFill="1" applyBorder="1"/>
    <xf numFmtId="0" fontId="40" fillId="15" borderId="0" xfId="0" applyFont="1" applyFill="1" applyAlignment="1">
      <alignment vertical="top"/>
    </xf>
    <xf numFmtId="0" fontId="40" fillId="15" borderId="0" xfId="0" applyFont="1" applyFill="1"/>
    <xf numFmtId="171" fontId="40" fillId="2" borderId="15" xfId="0" applyNumberFormat="1" applyFont="1" applyFill="1" applyBorder="1"/>
    <xf numFmtId="171" fontId="40" fillId="10" borderId="0" xfId="0" applyNumberFormat="1" applyFont="1" applyFill="1"/>
    <xf numFmtId="40" fontId="26" fillId="10" borderId="0" xfId="5" applyFont="1" applyFill="1"/>
    <xf numFmtId="171" fontId="40" fillId="0" borderId="0" xfId="0" applyNumberFormat="1" applyFont="1"/>
    <xf numFmtId="40" fontId="26" fillId="0" borderId="0" xfId="5" applyFont="1"/>
    <xf numFmtId="171" fontId="40" fillId="0" borderId="15" xfId="0" applyNumberFormat="1" applyFont="1" applyBorder="1"/>
    <xf numFmtId="40" fontId="26" fillId="0" borderId="15" xfId="5" applyFont="1" applyBorder="1"/>
    <xf numFmtId="0" fontId="26" fillId="2" borderId="0" xfId="0" applyFont="1" applyFill="1" applyAlignment="1">
      <alignment horizontal="center"/>
    </xf>
    <xf numFmtId="171" fontId="26" fillId="10" borderId="0" xfId="2" applyFont="1" applyFill="1" applyAlignment="1">
      <alignment horizontal="center"/>
    </xf>
    <xf numFmtId="173" fontId="40" fillId="0" borderId="0" xfId="3" applyFont="1" applyAlignment="1">
      <alignment horizontal="center"/>
    </xf>
    <xf numFmtId="171" fontId="26" fillId="0" borderId="0" xfId="2" applyFont="1" applyAlignment="1">
      <alignment horizontal="center"/>
    </xf>
    <xf numFmtId="40" fontId="26" fillId="0" borderId="0" xfId="5" applyFont="1" applyAlignment="1">
      <alignment horizontal="center"/>
    </xf>
    <xf numFmtId="0" fontId="40" fillId="10" borderId="15" xfId="0" applyFont="1" applyFill="1" applyBorder="1"/>
    <xf numFmtId="173" fontId="40" fillId="10" borderId="15" xfId="3" applyFont="1" applyFill="1" applyBorder="1" applyAlignment="1">
      <alignment horizontal="center"/>
    </xf>
    <xf numFmtId="171" fontId="26" fillId="10" borderId="15" xfId="2" applyFont="1" applyFill="1" applyBorder="1" applyAlignment="1">
      <alignment horizontal="center"/>
    </xf>
    <xf numFmtId="40" fontId="26" fillId="10" borderId="15" xfId="5" applyFont="1" applyFill="1" applyBorder="1" applyAlignment="1">
      <alignment horizontal="center"/>
    </xf>
    <xf numFmtId="173" fontId="40" fillId="2" borderId="0" xfId="3" applyFont="1" applyFill="1"/>
    <xf numFmtId="40" fontId="26" fillId="2" borderId="0" xfId="5" applyFont="1" applyFill="1"/>
    <xf numFmtId="0" fontId="40" fillId="2" borderId="15" xfId="0" applyFont="1" applyFill="1" applyBorder="1" applyAlignment="1">
      <alignment horizontal="center" vertical="center"/>
    </xf>
    <xf numFmtId="173" fontId="40" fillId="2" borderId="15" xfId="3" applyFont="1" applyFill="1" applyBorder="1"/>
    <xf numFmtId="171" fontId="26" fillId="2" borderId="15" xfId="2" applyFont="1" applyFill="1" applyBorder="1"/>
    <xf numFmtId="40" fontId="26" fillId="2" borderId="15" xfId="5" applyFont="1" applyFill="1" applyBorder="1"/>
    <xf numFmtId="0" fontId="26" fillId="2" borderId="0" xfId="0" applyFont="1" applyFill="1"/>
    <xf numFmtId="164" fontId="40" fillId="2" borderId="0" xfId="0" applyNumberFormat="1" applyFont="1" applyFill="1"/>
    <xf numFmtId="0" fontId="40" fillId="10" borderId="0" xfId="0" applyFont="1" applyFill="1" applyAlignment="1">
      <alignment horizontal="left"/>
    </xf>
    <xf numFmtId="173" fontId="40" fillId="10" borderId="5" xfId="3" applyFont="1" applyFill="1" applyBorder="1"/>
    <xf numFmtId="0" fontId="40" fillId="2" borderId="0" xfId="0" applyFont="1" applyFill="1" applyAlignment="1">
      <alignment horizontal="left"/>
    </xf>
    <xf numFmtId="173" fontId="40" fillId="2" borderId="5" xfId="3" applyFont="1" applyFill="1" applyBorder="1"/>
    <xf numFmtId="0" fontId="40" fillId="10" borderId="15" xfId="0" applyFont="1" applyFill="1" applyBorder="1" applyAlignment="1">
      <alignment horizontal="left"/>
    </xf>
    <xf numFmtId="173" fontId="40" fillId="10" borderId="15" xfId="3" applyFont="1" applyFill="1" applyBorder="1"/>
    <xf numFmtId="173" fontId="40" fillId="10" borderId="16" xfId="3" applyFont="1" applyFill="1" applyBorder="1"/>
    <xf numFmtId="171" fontId="26" fillId="10" borderId="15" xfId="2" applyFont="1" applyFill="1" applyBorder="1"/>
    <xf numFmtId="0" fontId="40" fillId="10" borderId="0" xfId="0" applyFont="1" applyFill="1" applyAlignment="1">
      <alignment horizontal="center" vertical="top"/>
    </xf>
    <xf numFmtId="0" fontId="40" fillId="2" borderId="15" xfId="0" applyFont="1" applyFill="1" applyBorder="1" applyAlignment="1">
      <alignment horizontal="center" vertical="top"/>
    </xf>
    <xf numFmtId="0" fontId="26" fillId="2" borderId="0" xfId="0" applyFont="1" applyFill="1" applyAlignment="1">
      <alignment vertical="top" wrapText="1"/>
    </xf>
    <xf numFmtId="165" fontId="40" fillId="2" borderId="0" xfId="0" applyNumberFormat="1" applyFont="1" applyFill="1" applyAlignment="1">
      <alignment vertical="top"/>
    </xf>
    <xf numFmtId="0" fontId="40" fillId="15" borderId="0" xfId="0" applyFont="1" applyFill="1" applyAlignment="1">
      <alignment horizontal="center" vertical="top"/>
    </xf>
    <xf numFmtId="165" fontId="40" fillId="15" borderId="0" xfId="0" applyNumberFormat="1" applyFont="1" applyFill="1" applyAlignment="1">
      <alignment horizontal="center" vertical="top"/>
    </xf>
    <xf numFmtId="0" fontId="40" fillId="2" borderId="15" xfId="0" applyFont="1" applyFill="1" applyBorder="1" applyAlignment="1">
      <alignment horizontal="left" wrapText="1"/>
    </xf>
    <xf numFmtId="177" fontId="26" fillId="10" borderId="0" xfId="5" applyNumberFormat="1" applyFont="1" applyFill="1"/>
    <xf numFmtId="177" fontId="26" fillId="2" borderId="0" xfId="5" applyNumberFormat="1" applyFont="1" applyFill="1"/>
    <xf numFmtId="177" fontId="26" fillId="2" borderId="15" xfId="5" applyNumberFormat="1" applyFont="1" applyFill="1" applyBorder="1"/>
    <xf numFmtId="187" fontId="26" fillId="10" borderId="0" xfId="2" applyNumberFormat="1" applyFont="1" applyFill="1"/>
    <xf numFmtId="187" fontId="26" fillId="2" borderId="0" xfId="2" applyNumberFormat="1" applyFont="1" applyFill="1"/>
    <xf numFmtId="187" fontId="26" fillId="2" borderId="15" xfId="2" applyNumberFormat="1" applyFont="1" applyFill="1" applyBorder="1"/>
    <xf numFmtId="189" fontId="40" fillId="10" borderId="0" xfId="0" applyNumberFormat="1" applyFont="1" applyFill="1" applyAlignment="1">
      <alignment wrapText="1"/>
    </xf>
    <xf numFmtId="173" fontId="26" fillId="10" borderId="0" xfId="0" applyNumberFormat="1" applyFont="1" applyFill="1" applyAlignment="1">
      <alignment horizontal="right"/>
    </xf>
    <xf numFmtId="189" fontId="40" fillId="2" borderId="15" xfId="0" applyNumberFormat="1" applyFont="1" applyFill="1" applyBorder="1" applyAlignment="1">
      <alignment wrapText="1"/>
    </xf>
    <xf numFmtId="173" fontId="26" fillId="2" borderId="15" xfId="0" applyNumberFormat="1" applyFont="1" applyFill="1" applyBorder="1" applyAlignment="1">
      <alignment horizontal="right"/>
    </xf>
    <xf numFmtId="177" fontId="26" fillId="10" borderId="0" xfId="5" applyNumberFormat="1" applyFont="1" applyFill="1" applyAlignment="1">
      <alignment horizontal="center"/>
    </xf>
    <xf numFmtId="177" fontId="26" fillId="2" borderId="0" xfId="5" applyNumberFormat="1" applyFont="1" applyFill="1" applyAlignment="1">
      <alignment horizontal="center"/>
    </xf>
    <xf numFmtId="177" fontId="26" fillId="2" borderId="15" xfId="5" applyNumberFormat="1" applyFont="1" applyFill="1" applyBorder="1" applyAlignment="1">
      <alignment horizontal="center"/>
    </xf>
    <xf numFmtId="173" fontId="40" fillId="2" borderId="15" xfId="3" applyFont="1" applyFill="1" applyBorder="1" applyAlignment="1">
      <alignment horizontal="center"/>
    </xf>
    <xf numFmtId="40" fontId="26" fillId="2" borderId="15" xfId="5" applyFont="1" applyFill="1" applyBorder="1" applyAlignment="1">
      <alignment horizontal="center"/>
    </xf>
    <xf numFmtId="0" fontId="41" fillId="10" borderId="0" xfId="0" applyFont="1" applyFill="1" applyAlignment="1">
      <alignment horizontal="center" wrapText="1"/>
    </xf>
    <xf numFmtId="0" fontId="41" fillId="2" borderId="0" xfId="0" applyFont="1" applyFill="1" applyAlignment="1">
      <alignment horizontal="center" wrapText="1"/>
    </xf>
    <xf numFmtId="0" fontId="41" fillId="2" borderId="15" xfId="0" applyFont="1" applyFill="1" applyBorder="1" applyAlignment="1">
      <alignment horizontal="center" wrapText="1"/>
    </xf>
    <xf numFmtId="37" fontId="40" fillId="10" borderId="29" xfId="1" applyFont="1" applyFill="1" applyBorder="1" applyAlignment="1">
      <alignment horizontal="center"/>
    </xf>
    <xf numFmtId="10" fontId="40" fillId="10" borderId="29" xfId="3" applyNumberFormat="1" applyFont="1" applyFill="1" applyBorder="1" applyAlignment="1">
      <alignment horizontal="center"/>
    </xf>
    <xf numFmtId="186" fontId="40" fillId="10" borderId="29" xfId="0" applyNumberFormat="1" applyFont="1" applyFill="1" applyBorder="1" applyAlignment="1">
      <alignment horizontal="center"/>
    </xf>
    <xf numFmtId="171" fontId="26" fillId="10" borderId="29" xfId="2" applyFont="1" applyFill="1" applyBorder="1" applyAlignment="1">
      <alignment horizontal="center"/>
    </xf>
    <xf numFmtId="190" fontId="26" fillId="10" borderId="29" xfId="2" applyNumberFormat="1" applyFont="1" applyFill="1" applyBorder="1" applyAlignment="1">
      <alignment horizontal="center"/>
    </xf>
    <xf numFmtId="170" fontId="40" fillId="10" borderId="0" xfId="2" applyNumberFormat="1" applyFont="1" applyFill="1"/>
    <xf numFmtId="191" fontId="40" fillId="10" borderId="0" xfId="2" applyNumberFormat="1" applyFont="1" applyFill="1"/>
    <xf numFmtId="192" fontId="40" fillId="10" borderId="0" xfId="1" applyNumberFormat="1" applyFont="1" applyFill="1" applyAlignment="1">
      <alignment horizontal="right"/>
    </xf>
    <xf numFmtId="170" fontId="40" fillId="2" borderId="0" xfId="2" applyNumberFormat="1" applyFont="1" applyFill="1"/>
    <xf numFmtId="191" fontId="40" fillId="2" borderId="0" xfId="2" applyNumberFormat="1" applyFont="1" applyFill="1"/>
    <xf numFmtId="192" fontId="40" fillId="0" borderId="0" xfId="1" applyNumberFormat="1" applyFont="1" applyAlignment="1">
      <alignment horizontal="right"/>
    </xf>
    <xf numFmtId="170" fontId="40" fillId="2" borderId="15" xfId="2" applyNumberFormat="1" applyFont="1" applyFill="1" applyBorder="1"/>
    <xf numFmtId="191" fontId="40" fillId="2" borderId="15" xfId="2" applyNumberFormat="1" applyFont="1" applyFill="1" applyBorder="1"/>
    <xf numFmtId="192" fontId="40" fillId="0" borderId="15" xfId="1" applyNumberFormat="1" applyFont="1" applyBorder="1" applyAlignment="1">
      <alignment horizontal="right"/>
    </xf>
    <xf numFmtId="177" fontId="26" fillId="0" borderId="0" xfId="5" applyNumberFormat="1" applyFont="1"/>
    <xf numFmtId="177" fontId="26" fillId="0" borderId="15" xfId="5" applyNumberFormat="1" applyFont="1" applyBorder="1"/>
    <xf numFmtId="0" fontId="40" fillId="15" borderId="0" xfId="0" applyFont="1" applyFill="1" applyAlignment="1">
      <alignment wrapText="1"/>
    </xf>
    <xf numFmtId="0" fontId="41" fillId="15" borderId="0" xfId="0" applyFont="1" applyFill="1" applyAlignment="1">
      <alignment horizontal="center" wrapText="1"/>
    </xf>
    <xf numFmtId="0" fontId="40" fillId="15" borderId="0" xfId="0" applyFont="1" applyFill="1" applyAlignment="1">
      <alignment horizontal="center"/>
    </xf>
    <xf numFmtId="168" fontId="40" fillId="2" borderId="0" xfId="0" applyNumberFormat="1" applyFont="1" applyFill="1"/>
    <xf numFmtId="173" fontId="7" fillId="10" borderId="17" xfId="3" applyFont="1" applyFill="1" applyBorder="1"/>
    <xf numFmtId="171" fontId="6" fillId="10" borderId="17" xfId="2" applyFont="1" applyFill="1" applyBorder="1"/>
    <xf numFmtId="0" fontId="6" fillId="2" borderId="36" xfId="0" applyFont="1" applyFill="1" applyBorder="1" applyAlignment="1">
      <alignment horizontal="left" wrapText="1"/>
    </xf>
    <xf numFmtId="171" fontId="6" fillId="2" borderId="36" xfId="2" applyFont="1" applyFill="1" applyBorder="1"/>
    <xf numFmtId="173" fontId="7" fillId="2" borderId="36" xfId="3" applyFont="1" applyFill="1" applyBorder="1" applyAlignment="1">
      <alignment horizontal="center"/>
    </xf>
    <xf numFmtId="177" fontId="6" fillId="2" borderId="36" xfId="5" applyNumberFormat="1" applyFont="1" applyFill="1" applyBorder="1" applyAlignment="1">
      <alignment horizontal="center"/>
    </xf>
    <xf numFmtId="0" fontId="44" fillId="2" borderId="0" xfId="0" applyFont="1" applyFill="1"/>
    <xf numFmtId="0" fontId="40" fillId="2" borderId="5" xfId="0" applyFont="1" applyFill="1" applyBorder="1"/>
    <xf numFmtId="171" fontId="26" fillId="2" borderId="6" xfId="2" applyFont="1" applyFill="1" applyBorder="1"/>
    <xf numFmtId="40" fontId="26" fillId="2" borderId="5" xfId="5" applyFont="1" applyFill="1" applyBorder="1"/>
    <xf numFmtId="171" fontId="26" fillId="2" borderId="5" xfId="2" applyFont="1" applyFill="1" applyBorder="1"/>
    <xf numFmtId="0" fontId="44" fillId="4" borderId="0" xfId="0" applyFont="1" applyFill="1"/>
    <xf numFmtId="0" fontId="40" fillId="4" borderId="0" xfId="0" applyFont="1" applyFill="1"/>
    <xf numFmtId="0" fontId="40" fillId="4" borderId="5" xfId="0" applyFont="1" applyFill="1" applyBorder="1"/>
    <xf numFmtId="171" fontId="26" fillId="4" borderId="6" xfId="2" applyFont="1" applyFill="1" applyBorder="1"/>
    <xf numFmtId="40" fontId="26" fillId="4" borderId="5" xfId="5" applyFont="1" applyFill="1" applyBorder="1"/>
    <xf numFmtId="40" fontId="26" fillId="4" borderId="0" xfId="5" applyFont="1" applyFill="1"/>
    <xf numFmtId="171" fontId="26" fillId="4" borderId="5" xfId="2" applyFont="1" applyFill="1" applyBorder="1"/>
    <xf numFmtId="173" fontId="40" fillId="4" borderId="0" xfId="3" applyFont="1" applyFill="1"/>
    <xf numFmtId="0" fontId="45" fillId="4" borderId="0" xfId="0" applyFont="1" applyFill="1"/>
    <xf numFmtId="0" fontId="26" fillId="4" borderId="0" xfId="0" applyFont="1" applyFill="1"/>
    <xf numFmtId="0" fontId="40" fillId="2" borderId="0" xfId="0" applyFont="1" applyFill="1" applyAlignment="1">
      <alignment horizontal="left" vertical="center" wrapText="1" indent="1"/>
    </xf>
    <xf numFmtId="0" fontId="40" fillId="4" borderId="0" xfId="0" applyFont="1" applyFill="1" applyAlignment="1">
      <alignment horizontal="left" vertical="center" wrapText="1" indent="1"/>
    </xf>
    <xf numFmtId="178" fontId="26" fillId="4" borderId="0" xfId="5" applyNumberFormat="1" applyFont="1" applyFill="1"/>
    <xf numFmtId="0" fontId="40" fillId="2" borderId="0" xfId="0" applyFont="1" applyFill="1" applyAlignment="1">
      <alignment horizontal="left" vertical="top" wrapText="1" indent="1"/>
    </xf>
    <xf numFmtId="0" fontId="40" fillId="2" borderId="0" xfId="0" applyFont="1" applyFill="1" applyAlignment="1">
      <alignment horizontal="left" indent="1"/>
    </xf>
    <xf numFmtId="0" fontId="40" fillId="4" borderId="17" xfId="0" applyFont="1" applyFill="1" applyBorder="1" applyAlignment="1">
      <alignment horizontal="left" indent="1"/>
    </xf>
    <xf numFmtId="173" fontId="40" fillId="4" borderId="17" xfId="3" applyFont="1" applyFill="1" applyBorder="1"/>
    <xf numFmtId="0" fontId="26" fillId="2" borderId="0" xfId="0" applyFont="1" applyFill="1" applyAlignment="1">
      <alignment horizontal="left" indent="1"/>
    </xf>
    <xf numFmtId="165" fontId="40" fillId="2" borderId="0" xfId="0" applyNumberFormat="1" applyFont="1" applyFill="1"/>
    <xf numFmtId="0" fontId="26" fillId="4" borderId="0" xfId="0" applyFont="1" applyFill="1" applyAlignment="1">
      <alignment horizontal="left" indent="1"/>
    </xf>
    <xf numFmtId="168" fontId="40" fillId="4" borderId="0" xfId="0" applyNumberFormat="1" applyFont="1" applyFill="1" applyAlignment="1">
      <alignment horizontal="center"/>
    </xf>
    <xf numFmtId="0" fontId="26" fillId="2" borderId="1" xfId="0" applyFont="1" applyFill="1" applyBorder="1" applyAlignment="1">
      <alignment horizontal="left" indent="1"/>
    </xf>
    <xf numFmtId="179" fontId="40" fillId="2" borderId="1" xfId="0" applyNumberFormat="1" applyFont="1" applyFill="1" applyBorder="1" applyAlignment="1">
      <alignment horizontal="right"/>
    </xf>
    <xf numFmtId="182" fontId="40" fillId="2" borderId="1" xfId="0" applyNumberFormat="1" applyFont="1" applyFill="1" applyBorder="1"/>
    <xf numFmtId="0" fontId="26" fillId="2" borderId="17" xfId="0" applyFont="1" applyFill="1" applyBorder="1" applyAlignment="1">
      <alignment horizontal="left" indent="1"/>
    </xf>
    <xf numFmtId="179" fontId="40" fillId="2" borderId="17" xfId="0" applyNumberFormat="1" applyFont="1" applyFill="1" applyBorder="1" applyAlignment="1">
      <alignment horizontal="right"/>
    </xf>
    <xf numFmtId="175" fontId="40" fillId="2" borderId="0" xfId="0" applyNumberFormat="1" applyFont="1" applyFill="1"/>
    <xf numFmtId="176" fontId="40" fillId="2" borderId="0" xfId="0" applyNumberFormat="1" applyFont="1" applyFill="1"/>
    <xf numFmtId="173" fontId="40" fillId="2" borderId="0" xfId="0" applyNumberFormat="1" applyFont="1" applyFill="1"/>
    <xf numFmtId="39" fontId="40" fillId="2" borderId="0" xfId="1" applyNumberFormat="1" applyFont="1" applyFill="1"/>
    <xf numFmtId="173" fontId="40" fillId="2" borderId="6" xfId="3" applyFont="1" applyFill="1" applyBorder="1"/>
    <xf numFmtId="0" fontId="40" fillId="4" borderId="0" xfId="0" applyFont="1" applyFill="1" applyAlignment="1">
      <alignment horizontal="left" indent="1"/>
    </xf>
    <xf numFmtId="175" fontId="40" fillId="4" borderId="0" xfId="0" applyNumberFormat="1" applyFont="1" applyFill="1"/>
    <xf numFmtId="176" fontId="40" fillId="4" borderId="0" xfId="0" applyNumberFormat="1" applyFont="1" applyFill="1"/>
    <xf numFmtId="168" fontId="40" fillId="4" borderId="0" xfId="0" applyNumberFormat="1" applyFont="1" applyFill="1"/>
    <xf numFmtId="173" fontId="40" fillId="4" borderId="0" xfId="0" applyNumberFormat="1" applyFont="1" applyFill="1"/>
    <xf numFmtId="39" fontId="40" fillId="4" borderId="0" xfId="1" applyNumberFormat="1" applyFont="1" applyFill="1"/>
    <xf numFmtId="173" fontId="40" fillId="4" borderId="6" xfId="3" applyFont="1" applyFill="1" applyBorder="1"/>
    <xf numFmtId="0" fontId="26" fillId="2" borderId="1" xfId="0" applyFont="1" applyFill="1" applyBorder="1"/>
    <xf numFmtId="0" fontId="40" fillId="2" borderId="4" xfId="0" applyFont="1" applyFill="1" applyBorder="1"/>
    <xf numFmtId="175" fontId="40" fillId="2" borderId="1" xfId="0" applyNumberFormat="1" applyFont="1" applyFill="1" applyBorder="1"/>
    <xf numFmtId="176" fontId="40" fillId="2" borderId="1" xfId="0" applyNumberFormat="1" applyFont="1" applyFill="1" applyBorder="1"/>
    <xf numFmtId="168" fontId="40" fillId="2" borderId="1" xfId="0" applyNumberFormat="1" applyFont="1" applyFill="1" applyBorder="1"/>
    <xf numFmtId="173" fontId="40" fillId="2" borderId="1" xfId="0" applyNumberFormat="1" applyFont="1" applyFill="1" applyBorder="1"/>
    <xf numFmtId="0" fontId="40" fillId="2" borderId="1" xfId="0" applyFont="1" applyFill="1" applyBorder="1"/>
    <xf numFmtId="39" fontId="40" fillId="2" borderId="2" xfId="1" applyNumberFormat="1" applyFont="1" applyFill="1" applyBorder="1"/>
    <xf numFmtId="171" fontId="26" fillId="2" borderId="26" xfId="2" applyFont="1" applyFill="1" applyBorder="1"/>
    <xf numFmtId="173" fontId="40" fillId="2" borderId="26" xfId="3" applyFont="1" applyFill="1" applyBorder="1"/>
    <xf numFmtId="0" fontId="40" fillId="4" borderId="1" xfId="0" applyFont="1" applyFill="1" applyBorder="1"/>
    <xf numFmtId="0" fontId="40" fillId="4" borderId="4" xfId="0" applyFont="1" applyFill="1" applyBorder="1"/>
    <xf numFmtId="175" fontId="40" fillId="4" borderId="1" xfId="0" applyNumberFormat="1" applyFont="1" applyFill="1" applyBorder="1"/>
    <xf numFmtId="176" fontId="40" fillId="4" borderId="1" xfId="0" applyNumberFormat="1" applyFont="1" applyFill="1" applyBorder="1"/>
    <xf numFmtId="168" fontId="40" fillId="4" borderId="1" xfId="0" applyNumberFormat="1" applyFont="1" applyFill="1" applyBorder="1"/>
    <xf numFmtId="173" fontId="40" fillId="4" borderId="1" xfId="0" applyNumberFormat="1" applyFont="1" applyFill="1" applyBorder="1"/>
    <xf numFmtId="39" fontId="40" fillId="4" borderId="2" xfId="1" applyNumberFormat="1" applyFont="1" applyFill="1" applyBorder="1"/>
    <xf numFmtId="171" fontId="26" fillId="4" borderId="26" xfId="2" applyFont="1" applyFill="1" applyBorder="1"/>
    <xf numFmtId="173" fontId="40" fillId="4" borderId="26" xfId="3" applyFont="1" applyFill="1" applyBorder="1"/>
    <xf numFmtId="173" fontId="40" fillId="2" borderId="28" xfId="3" applyFont="1" applyFill="1" applyBorder="1"/>
    <xf numFmtId="37" fontId="40" fillId="2" borderId="6" xfId="1" applyFont="1" applyFill="1" applyBorder="1"/>
    <xf numFmtId="173" fontId="40" fillId="2" borderId="13" xfId="3" applyFont="1" applyFill="1" applyBorder="1"/>
    <xf numFmtId="37" fontId="40" fillId="4" borderId="31" xfId="1" applyFont="1" applyFill="1" applyBorder="1"/>
    <xf numFmtId="39" fontId="40" fillId="4" borderId="29" xfId="1" applyNumberFormat="1" applyFont="1" applyFill="1" applyBorder="1"/>
    <xf numFmtId="173" fontId="40" fillId="4" borderId="29" xfId="3" applyFont="1" applyFill="1" applyBorder="1"/>
    <xf numFmtId="173" fontId="40" fillId="4" borderId="31" xfId="3" applyFont="1" applyFill="1" applyBorder="1"/>
    <xf numFmtId="37" fontId="40" fillId="4" borderId="0" xfId="1" applyFont="1" applyFill="1"/>
    <xf numFmtId="171" fontId="26" fillId="4" borderId="0" xfId="2" applyFont="1" applyFill="1"/>
    <xf numFmtId="37" fontId="40" fillId="2" borderId="0" xfId="1" applyFont="1" applyFill="1"/>
    <xf numFmtId="37" fontId="40" fillId="4" borderId="15" xfId="1" applyFont="1" applyFill="1" applyBorder="1"/>
    <xf numFmtId="171" fontId="26" fillId="4" borderId="15" xfId="2" applyFont="1" applyFill="1" applyBorder="1"/>
    <xf numFmtId="171" fontId="26" fillId="4" borderId="16" xfId="2" applyFont="1" applyFill="1" applyBorder="1"/>
    <xf numFmtId="165" fontId="40" fillId="4" borderId="0" xfId="0" applyNumberFormat="1" applyFont="1" applyFill="1"/>
    <xf numFmtId="171" fontId="26" fillId="0" borderId="5" xfId="2" applyFont="1" applyBorder="1"/>
    <xf numFmtId="165" fontId="40" fillId="4" borderId="15" xfId="0" applyNumberFormat="1" applyFont="1" applyFill="1" applyBorder="1"/>
    <xf numFmtId="171" fontId="6" fillId="0" borderId="18" xfId="2" applyFont="1" applyBorder="1"/>
    <xf numFmtId="171" fontId="6" fillId="2" borderId="17" xfId="2" applyFont="1" applyFill="1" applyBorder="1"/>
    <xf numFmtId="0" fontId="46" fillId="4" borderId="0" xfId="0" applyFont="1" applyFill="1" applyAlignment="1">
      <alignment horizontal="right" wrapText="1"/>
    </xf>
    <xf numFmtId="165" fontId="47" fillId="4" borderId="0" xfId="0" applyNumberFormat="1" applyFont="1" applyFill="1"/>
    <xf numFmtId="0" fontId="41" fillId="2" borderId="0" xfId="0" applyFont="1" applyFill="1" applyAlignment="1">
      <alignment horizontal="left"/>
    </xf>
    <xf numFmtId="0" fontId="41" fillId="4" borderId="0" xfId="0" applyFont="1" applyFill="1" applyAlignment="1">
      <alignment horizontal="left"/>
    </xf>
    <xf numFmtId="0" fontId="26" fillId="4" borderId="0" xfId="0" applyFont="1" applyFill="1" applyAlignment="1">
      <alignment horizontal="left"/>
    </xf>
    <xf numFmtId="0" fontId="26" fillId="2" borderId="15" xfId="0" applyFont="1" applyFill="1" applyBorder="1" applyAlignment="1">
      <alignment horizontal="left"/>
    </xf>
    <xf numFmtId="0" fontId="40" fillId="4" borderId="16" xfId="0" applyFont="1" applyFill="1" applyBorder="1"/>
    <xf numFmtId="0" fontId="41" fillId="2" borderId="5" xfId="0" applyFont="1" applyFill="1" applyBorder="1" applyAlignment="1">
      <alignment horizontal="left" wrapText="1"/>
    </xf>
    <xf numFmtId="0" fontId="41" fillId="4" borderId="5" xfId="0" applyFont="1" applyFill="1" applyBorder="1" applyAlignment="1">
      <alignment horizontal="left" wrapText="1"/>
    </xf>
    <xf numFmtId="0" fontId="40" fillId="12" borderId="5" xfId="0" applyFont="1" applyFill="1" applyBorder="1"/>
    <xf numFmtId="171" fontId="26" fillId="12" borderId="0" xfId="2" applyFont="1" applyFill="1"/>
    <xf numFmtId="171" fontId="26" fillId="12" borderId="5" xfId="2" applyFont="1" applyFill="1" applyBorder="1"/>
    <xf numFmtId="0" fontId="41" fillId="12" borderId="5" xfId="0" applyFont="1" applyFill="1" applyBorder="1" applyAlignment="1">
      <alignment horizontal="left" wrapText="1"/>
    </xf>
    <xf numFmtId="166" fontId="47" fillId="4" borderId="0" xfId="0" applyNumberFormat="1" applyFont="1" applyFill="1"/>
    <xf numFmtId="165" fontId="47" fillId="4" borderId="5" xfId="0" applyNumberFormat="1" applyFont="1" applyFill="1" applyBorder="1"/>
    <xf numFmtId="171" fontId="26" fillId="2" borderId="23" xfId="2" applyFont="1" applyFill="1" applyBorder="1"/>
    <xf numFmtId="0" fontId="40" fillId="4" borderId="0" xfId="0" applyFont="1" applyFill="1" applyAlignment="1">
      <alignment horizontal="center"/>
    </xf>
    <xf numFmtId="166" fontId="40" fillId="4" borderId="0" xfId="0" applyNumberFormat="1" applyFont="1" applyFill="1"/>
    <xf numFmtId="172" fontId="40" fillId="4" borderId="0" xfId="0" applyNumberFormat="1" applyFont="1" applyFill="1"/>
    <xf numFmtId="166" fontId="40" fillId="2" borderId="15" xfId="0" applyNumberFormat="1" applyFont="1" applyFill="1" applyBorder="1"/>
    <xf numFmtId="0" fontId="40" fillId="4" borderId="7" xfId="0" applyFont="1" applyFill="1" applyBorder="1" applyAlignment="1">
      <alignment horizontal="center" vertical="center"/>
    </xf>
    <xf numFmtId="0" fontId="40" fillId="2" borderId="7" xfId="0" applyFont="1" applyFill="1" applyBorder="1" applyAlignment="1">
      <alignment horizontal="center"/>
    </xf>
    <xf numFmtId="0" fontId="40" fillId="4" borderId="7" xfId="0" applyFont="1" applyFill="1" applyBorder="1" applyAlignment="1">
      <alignment horizontal="center"/>
    </xf>
    <xf numFmtId="0" fontId="40" fillId="2" borderId="32" xfId="0" applyFont="1" applyFill="1" applyBorder="1" applyAlignment="1">
      <alignment horizontal="center"/>
    </xf>
    <xf numFmtId="40" fontId="26" fillId="2" borderId="16" xfId="5" applyFont="1" applyFill="1" applyBorder="1"/>
    <xf numFmtId="171" fontId="26" fillId="2" borderId="16" xfId="2" applyFont="1" applyFill="1" applyBorder="1"/>
    <xf numFmtId="168" fontId="40" fillId="4" borderId="5" xfId="0" applyNumberFormat="1" applyFont="1" applyFill="1" applyBorder="1" applyAlignment="1">
      <alignment horizontal="center"/>
    </xf>
    <xf numFmtId="168" fontId="40" fillId="4" borderId="7" xfId="0" applyNumberFormat="1" applyFont="1" applyFill="1" applyBorder="1" applyAlignment="1">
      <alignment horizontal="center"/>
    </xf>
    <xf numFmtId="2" fontId="40" fillId="4" borderId="0" xfId="0" applyNumberFormat="1" applyFont="1" applyFill="1"/>
    <xf numFmtId="168" fontId="40" fillId="2" borderId="5" xfId="0" applyNumberFormat="1" applyFont="1" applyFill="1" applyBorder="1" applyAlignment="1">
      <alignment horizontal="center"/>
    </xf>
    <xf numFmtId="168" fontId="40" fillId="2" borderId="7" xfId="0" applyNumberFormat="1" applyFont="1" applyFill="1" applyBorder="1" applyAlignment="1">
      <alignment horizontal="center"/>
    </xf>
    <xf numFmtId="168" fontId="40" fillId="2" borderId="16" xfId="0" applyNumberFormat="1" applyFont="1" applyFill="1" applyBorder="1" applyAlignment="1">
      <alignment horizontal="center"/>
    </xf>
    <xf numFmtId="168" fontId="40" fillId="2" borderId="32" xfId="0" applyNumberFormat="1" applyFont="1" applyFill="1" applyBorder="1" applyAlignment="1">
      <alignment horizontal="center"/>
    </xf>
    <xf numFmtId="2" fontId="40" fillId="2" borderId="15" xfId="0" applyNumberFormat="1" applyFont="1" applyFill="1" applyBorder="1"/>
    <xf numFmtId="2" fontId="40" fillId="4" borderId="0" xfId="0" applyNumberFormat="1" applyFont="1" applyFill="1" applyAlignment="1">
      <alignment horizontal="right" vertical="center"/>
    </xf>
    <xf numFmtId="37" fontId="40" fillId="0" borderId="0" xfId="1" applyFont="1"/>
    <xf numFmtId="2" fontId="40" fillId="2" borderId="0" xfId="0" applyNumberFormat="1" applyFont="1" applyFill="1" applyAlignment="1">
      <alignment horizontal="right" vertical="center"/>
    </xf>
    <xf numFmtId="0" fontId="26" fillId="2" borderId="15" xfId="0" applyFont="1" applyFill="1" applyBorder="1"/>
    <xf numFmtId="37" fontId="40" fillId="0" borderId="15" xfId="1" applyFont="1" applyBorder="1"/>
    <xf numFmtId="2" fontId="40" fillId="2" borderId="15" xfId="0" applyNumberFormat="1" applyFont="1" applyFill="1" applyBorder="1" applyAlignment="1">
      <alignment horizontal="right" vertical="center"/>
    </xf>
    <xf numFmtId="174" fontId="40" fillId="4" borderId="0" xfId="0" applyNumberFormat="1" applyFont="1" applyFill="1" applyAlignment="1">
      <alignment horizontal="center"/>
    </xf>
    <xf numFmtId="2" fontId="40" fillId="4" borderId="0" xfId="0" applyNumberFormat="1" applyFont="1" applyFill="1" applyAlignment="1">
      <alignment horizontal="center"/>
    </xf>
    <xf numFmtId="174" fontId="26" fillId="2" borderId="0" xfId="0" applyNumberFormat="1" applyFont="1" applyFill="1" applyAlignment="1">
      <alignment horizontal="center"/>
    </xf>
    <xf numFmtId="2" fontId="40" fillId="2" borderId="0" xfId="0" applyNumberFormat="1" applyFont="1" applyFill="1" applyAlignment="1">
      <alignment horizontal="center"/>
    </xf>
    <xf numFmtId="174" fontId="40" fillId="2" borderId="0" xfId="0" applyNumberFormat="1" applyFont="1" applyFill="1" applyAlignment="1">
      <alignment horizontal="center"/>
    </xf>
    <xf numFmtId="174" fontId="40" fillId="2" borderId="15" xfId="0" applyNumberFormat="1" applyFont="1" applyFill="1" applyBorder="1" applyAlignment="1">
      <alignment horizontal="center"/>
    </xf>
    <xf numFmtId="2" fontId="40" fillId="2" borderId="15" xfId="0" applyNumberFormat="1" applyFont="1" applyFill="1" applyBorder="1" applyAlignment="1">
      <alignment horizontal="center"/>
    </xf>
    <xf numFmtId="0" fontId="40" fillId="10" borderId="7" xfId="0" applyFont="1" applyFill="1" applyBorder="1" applyAlignment="1">
      <alignment horizontal="center"/>
    </xf>
    <xf numFmtId="2" fontId="40" fillId="10" borderId="7" xfId="0" applyNumberFormat="1" applyFont="1" applyFill="1" applyBorder="1" applyAlignment="1">
      <alignment horizontal="right" vertical="center"/>
    </xf>
    <xf numFmtId="171" fontId="26" fillId="10" borderId="5" xfId="2" applyFont="1" applyFill="1" applyBorder="1"/>
    <xf numFmtId="2" fontId="40" fillId="2" borderId="7" xfId="0" applyNumberFormat="1" applyFont="1" applyFill="1" applyBorder="1" applyAlignment="1">
      <alignment horizontal="right" vertical="center"/>
    </xf>
    <xf numFmtId="0" fontId="40" fillId="4" borderId="5" xfId="0" applyFont="1" applyFill="1" applyBorder="1" applyAlignment="1">
      <alignment horizontal="center"/>
    </xf>
    <xf numFmtId="0" fontId="40" fillId="2" borderId="5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left" indent="1"/>
    </xf>
    <xf numFmtId="171" fontId="26" fillId="4" borderId="2" xfId="2" applyFont="1" applyFill="1" applyBorder="1"/>
    <xf numFmtId="10" fontId="40" fillId="2" borderId="0" xfId="3" applyNumberFormat="1" applyFont="1" applyFill="1"/>
    <xf numFmtId="0" fontId="26" fillId="4" borderId="1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177" fontId="26" fillId="4" borderId="0" xfId="5" applyNumberFormat="1" applyFont="1" applyFill="1"/>
    <xf numFmtId="171" fontId="26" fillId="2" borderId="1" xfId="2" applyFont="1" applyFill="1" applyBorder="1"/>
    <xf numFmtId="177" fontId="26" fillId="2" borderId="1" xfId="5" applyNumberFormat="1" applyFont="1" applyFill="1" applyBorder="1"/>
    <xf numFmtId="171" fontId="26" fillId="2" borderId="3" xfId="2" applyFont="1" applyFill="1" applyBorder="1"/>
    <xf numFmtId="183" fontId="40" fillId="2" borderId="1" xfId="0" applyNumberFormat="1" applyFont="1" applyFill="1" applyBorder="1"/>
    <xf numFmtId="183" fontId="40" fillId="2" borderId="3" xfId="0" applyNumberFormat="1" applyFont="1" applyFill="1" applyBorder="1"/>
    <xf numFmtId="0" fontId="45" fillId="2" borderId="0" xfId="0" applyFont="1" applyFill="1"/>
    <xf numFmtId="171" fontId="26" fillId="4" borderId="1" xfId="2" applyFont="1" applyFill="1" applyBorder="1"/>
    <xf numFmtId="177" fontId="26" fillId="4" borderId="1" xfId="5" applyNumberFormat="1" applyFont="1" applyFill="1" applyBorder="1"/>
    <xf numFmtId="171" fontId="26" fillId="4" borderId="3" xfId="2" applyFont="1" applyFill="1" applyBorder="1"/>
    <xf numFmtId="173" fontId="40" fillId="2" borderId="1" xfId="3" applyFont="1" applyFill="1" applyBorder="1"/>
    <xf numFmtId="173" fontId="40" fillId="2" borderId="3" xfId="3" applyFont="1" applyFill="1" applyBorder="1"/>
    <xf numFmtId="173" fontId="26" fillId="2" borderId="1" xfId="0" applyNumberFormat="1" applyFont="1" applyFill="1" applyBorder="1"/>
    <xf numFmtId="0" fontId="49" fillId="2" borderId="1" xfId="0" applyFont="1" applyFill="1" applyBorder="1" applyAlignment="1">
      <alignment horizontal="left" indent="1"/>
    </xf>
    <xf numFmtId="183" fontId="50" fillId="2" borderId="1" xfId="0" applyNumberFormat="1" applyFont="1" applyFill="1" applyBorder="1"/>
    <xf numFmtId="173" fontId="49" fillId="2" borderId="1" xfId="0" applyNumberFormat="1" applyFont="1" applyFill="1" applyBorder="1"/>
    <xf numFmtId="173" fontId="26" fillId="4" borderId="1" xfId="0" applyNumberFormat="1" applyFont="1" applyFill="1" applyBorder="1"/>
    <xf numFmtId="173" fontId="40" fillId="4" borderId="11" xfId="3" applyFont="1" applyFill="1" applyBorder="1"/>
    <xf numFmtId="173" fontId="40" fillId="4" borderId="38" xfId="3" applyFont="1" applyFill="1" applyBorder="1" applyAlignment="1">
      <alignment vertical="center" wrapText="1"/>
    </xf>
    <xf numFmtId="173" fontId="40" fillId="2" borderId="17" xfId="3" applyFont="1" applyFill="1" applyBorder="1"/>
    <xf numFmtId="0" fontId="40" fillId="10" borderId="0" xfId="0" applyFont="1" applyFill="1" applyAlignment="1">
      <alignment vertical="top"/>
    </xf>
    <xf numFmtId="0" fontId="40" fillId="2" borderId="0" xfId="0" applyFont="1" applyFill="1" applyAlignment="1">
      <alignment horizontal="right"/>
    </xf>
    <xf numFmtId="0" fontId="51" fillId="2" borderId="0" xfId="0" applyFont="1" applyFill="1"/>
    <xf numFmtId="0" fontId="50" fillId="2" borderId="0" xfId="0" applyFont="1" applyFill="1"/>
    <xf numFmtId="0" fontId="52" fillId="2" borderId="0" xfId="0" applyFont="1" applyFill="1"/>
    <xf numFmtId="170" fontId="53" fillId="2" borderId="0" xfId="0" applyNumberFormat="1" applyFont="1" applyFill="1" applyAlignment="1">
      <alignment vertical="top"/>
    </xf>
    <xf numFmtId="171" fontId="26" fillId="17" borderId="6" xfId="2" applyFont="1" applyFill="1" applyBorder="1"/>
    <xf numFmtId="171" fontId="26" fillId="17" borderId="0" xfId="2" applyFont="1" applyFill="1"/>
    <xf numFmtId="39" fontId="40" fillId="17" borderId="0" xfId="1" applyNumberFormat="1" applyFont="1" applyFill="1"/>
    <xf numFmtId="39" fontId="40" fillId="17" borderId="2" xfId="1" applyNumberFormat="1" applyFont="1" applyFill="1" applyBorder="1"/>
    <xf numFmtId="39" fontId="1" fillId="17" borderId="0" xfId="1" applyNumberFormat="1" applyFill="1"/>
    <xf numFmtId="37" fontId="40" fillId="17" borderId="6" xfId="1" applyFont="1" applyFill="1" applyBorder="1"/>
    <xf numFmtId="37" fontId="40" fillId="17" borderId="31" xfId="1" applyFont="1" applyFill="1" applyBorder="1"/>
    <xf numFmtId="0" fontId="8" fillId="17" borderId="5" xfId="0" applyFont="1" applyFill="1" applyBorder="1"/>
    <xf numFmtId="0" fontId="8" fillId="17" borderId="16" xfId="0" applyFont="1" applyFill="1" applyBorder="1"/>
    <xf numFmtId="166" fontId="12" fillId="17" borderId="5" xfId="0" applyNumberFormat="1" applyFont="1" applyFill="1" applyBorder="1"/>
    <xf numFmtId="166" fontId="12" fillId="17" borderId="16" xfId="0" applyNumberFormat="1" applyFont="1" applyFill="1" applyBorder="1"/>
    <xf numFmtId="166" fontId="26" fillId="17" borderId="5" xfId="0" applyNumberFormat="1" applyFont="1" applyFill="1" applyBorder="1"/>
    <xf numFmtId="166" fontId="26" fillId="17" borderId="16" xfId="0" applyNumberFormat="1" applyFont="1" applyFill="1" applyBorder="1"/>
    <xf numFmtId="171" fontId="26" fillId="17" borderId="27" xfId="2" applyFont="1" applyFill="1" applyBorder="1"/>
    <xf numFmtId="171" fontId="26" fillId="17" borderId="15" xfId="2" applyFont="1" applyFill="1" applyBorder="1"/>
    <xf numFmtId="0" fontId="40" fillId="17" borderId="5" xfId="0" applyFont="1" applyFill="1" applyBorder="1"/>
    <xf numFmtId="0" fontId="40" fillId="17" borderId="16" xfId="0" applyFont="1" applyFill="1" applyBorder="1"/>
    <xf numFmtId="171" fontId="8" fillId="17" borderId="0" xfId="2" applyFont="1" applyFill="1"/>
    <xf numFmtId="171" fontId="8" fillId="17" borderId="21" xfId="2" applyFont="1" applyFill="1" applyBorder="1"/>
    <xf numFmtId="0" fontId="47" fillId="17" borderId="5" xfId="0" applyFont="1" applyFill="1" applyBorder="1" applyAlignment="1">
      <alignment horizontal="left"/>
    </xf>
    <xf numFmtId="0" fontId="26" fillId="17" borderId="5" xfId="0" applyFont="1" applyFill="1" applyBorder="1"/>
    <xf numFmtId="171" fontId="26" fillId="17" borderId="5" xfId="2" applyFont="1" applyFill="1" applyBorder="1"/>
    <xf numFmtId="171" fontId="26" fillId="17" borderId="16" xfId="2" applyFont="1" applyFill="1" applyBorder="1"/>
    <xf numFmtId="0" fontId="48" fillId="17" borderId="0" xfId="0" applyFont="1" applyFill="1"/>
    <xf numFmtId="173" fontId="1" fillId="0" borderId="0" xfId="3"/>
    <xf numFmtId="171" fontId="26" fillId="18" borderId="0" xfId="2" applyFont="1" applyFill="1"/>
    <xf numFmtId="171" fontId="26" fillId="18" borderId="25" xfId="2" applyFont="1" applyFill="1" applyBorder="1"/>
    <xf numFmtId="171" fontId="8" fillId="18" borderId="0" xfId="2" applyFont="1" applyFill="1"/>
    <xf numFmtId="183" fontId="26" fillId="18" borderId="25" xfId="0" applyNumberFormat="1" applyFont="1" applyFill="1" applyBorder="1"/>
    <xf numFmtId="171" fontId="8" fillId="18" borderId="25" xfId="2" applyFont="1" applyFill="1" applyBorder="1"/>
    <xf numFmtId="171" fontId="8" fillId="18" borderId="0" xfId="0" applyNumberFormat="1" applyFont="1" applyFill="1"/>
    <xf numFmtId="173" fontId="26" fillId="18" borderId="25" xfId="3" applyFont="1" applyFill="1" applyBorder="1"/>
    <xf numFmtId="40" fontId="26" fillId="17" borderId="0" xfId="5" applyFont="1" applyFill="1" applyAlignment="1">
      <alignment horizontal="center"/>
    </xf>
    <xf numFmtId="0" fontId="8" fillId="17" borderId="1" xfId="0" applyFont="1" applyFill="1" applyBorder="1" applyAlignment="1">
      <alignment horizontal="center" vertical="center" wrapText="1"/>
    </xf>
    <xf numFmtId="166" fontId="8" fillId="17" borderId="1" xfId="0" applyNumberFormat="1" applyFont="1" applyFill="1" applyBorder="1" applyAlignment="1">
      <alignment horizontal="center" vertical="center" wrapText="1"/>
    </xf>
    <xf numFmtId="2" fontId="8" fillId="17" borderId="1" xfId="0" applyNumberFormat="1" applyFont="1" applyFill="1" applyBorder="1" applyAlignment="1">
      <alignment horizontal="center" vertical="center" wrapText="1"/>
    </xf>
    <xf numFmtId="37" fontId="40" fillId="17" borderId="29" xfId="1" applyFont="1" applyFill="1" applyBorder="1" applyAlignment="1">
      <alignment horizontal="center"/>
    </xf>
    <xf numFmtId="166" fontId="26" fillId="17" borderId="0" xfId="0" applyNumberFormat="1" applyFont="1" applyFill="1"/>
    <xf numFmtId="166" fontId="26" fillId="17" borderId="15" xfId="0" applyNumberFormat="1" applyFont="1" applyFill="1" applyBorder="1"/>
    <xf numFmtId="165" fontId="47" fillId="17" borderId="0" xfId="0" applyNumberFormat="1" applyFont="1" applyFill="1"/>
    <xf numFmtId="165" fontId="47" fillId="17" borderId="6" xfId="0" applyNumberFormat="1" applyFont="1" applyFill="1" applyBorder="1"/>
    <xf numFmtId="171" fontId="26" fillId="19" borderId="5" xfId="2" applyFont="1" applyFill="1" applyBorder="1"/>
    <xf numFmtId="171" fontId="26" fillId="19" borderId="16" xfId="2" applyFont="1" applyFill="1" applyBorder="1"/>
    <xf numFmtId="37" fontId="1" fillId="0" borderId="0" xfId="1"/>
    <xf numFmtId="37" fontId="4" fillId="2" borderId="0" xfId="1" applyFont="1" applyFill="1"/>
    <xf numFmtId="0" fontId="40" fillId="20" borderId="0" xfId="0" applyFont="1" applyFill="1" applyAlignment="1">
      <alignment horizontal="center"/>
    </xf>
    <xf numFmtId="173" fontId="40" fillId="20" borderId="0" xfId="3" applyFont="1" applyFill="1"/>
    <xf numFmtId="171" fontId="26" fillId="20" borderId="0" xfId="2" applyFont="1" applyFill="1"/>
    <xf numFmtId="0" fontId="14" fillId="17" borderId="1" xfId="0" applyFont="1" applyFill="1" applyBorder="1" applyAlignment="1">
      <alignment horizontal="center" vertical="center" wrapText="1"/>
    </xf>
    <xf numFmtId="37" fontId="0" fillId="17" borderId="21" xfId="1" applyFont="1" applyFill="1" applyBorder="1"/>
    <xf numFmtId="195" fontId="0" fillId="2" borderId="0" xfId="0" applyNumberFormat="1" applyFill="1"/>
    <xf numFmtId="177" fontId="26" fillId="21" borderId="0" xfId="5" applyNumberFormat="1" applyFont="1" applyFill="1" applyAlignment="1">
      <alignment horizontal="center"/>
    </xf>
    <xf numFmtId="171" fontId="0" fillId="21" borderId="0" xfId="0" applyNumberFormat="1" applyFill="1"/>
    <xf numFmtId="166" fontId="8" fillId="17" borderId="17" xfId="0" applyNumberFormat="1" applyFont="1" applyFill="1" applyBorder="1" applyAlignment="1">
      <alignment vertical="center"/>
    </xf>
    <xf numFmtId="2" fontId="14" fillId="5" borderId="0" xfId="0" applyNumberFormat="1" applyFont="1" applyFill="1" applyAlignment="1">
      <alignment horizontal="center" vertical="center" wrapText="1"/>
    </xf>
    <xf numFmtId="38" fontId="26" fillId="10" borderId="0" xfId="5" applyNumberFormat="1" applyFont="1" applyFill="1" applyAlignment="1">
      <alignment horizontal="center"/>
    </xf>
    <xf numFmtId="38" fontId="26" fillId="2" borderId="0" xfId="5" applyNumberFormat="1" applyFont="1" applyFill="1" applyAlignment="1">
      <alignment horizontal="center"/>
    </xf>
    <xf numFmtId="38" fontId="8" fillId="10" borderId="0" xfId="5" applyNumberFormat="1" applyFont="1" applyFill="1" applyAlignment="1">
      <alignment horizontal="center"/>
    </xf>
    <xf numFmtId="171" fontId="4" fillId="2" borderId="0" xfId="0" applyNumberFormat="1" applyFont="1" applyFill="1"/>
    <xf numFmtId="0" fontId="24" fillId="0" borderId="0" xfId="0" applyFont="1"/>
    <xf numFmtId="0" fontId="6" fillId="0" borderId="0" xfId="0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66" fontId="14" fillId="16" borderId="3" xfId="4" applyFont="1" applyFill="1" applyBorder="1">
      <alignment horizontal="center" vertical="center" wrapText="1"/>
    </xf>
    <xf numFmtId="166" fontId="14" fillId="16" borderId="4" xfId="4" applyFont="1" applyFill="1" applyBorder="1">
      <alignment horizontal="center" vertical="center" wrapText="1"/>
    </xf>
    <xf numFmtId="166" fontId="14" fillId="16" borderId="1" xfId="4" applyFont="1" applyFill="1" applyBorder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6" fontId="14" fillId="16" borderId="6" xfId="0" applyNumberFormat="1" applyFont="1" applyFill="1" applyBorder="1" applyAlignment="1">
      <alignment horizontal="center" vertical="center" wrapText="1"/>
    </xf>
    <xf numFmtId="166" fontId="14" fillId="16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4" fillId="16" borderId="6" xfId="0" applyFont="1" applyFill="1" applyBorder="1" applyAlignment="1">
      <alignment horizontal="center" vertical="center" wrapText="1"/>
    </xf>
    <xf numFmtId="0" fontId="14" fillId="16" borderId="0" xfId="0" applyFont="1" applyFill="1" applyAlignment="1">
      <alignment horizontal="center" vertical="center" wrapText="1"/>
    </xf>
    <xf numFmtId="166" fontId="14" fillId="16" borderId="6" xfId="0" applyNumberFormat="1" applyFont="1" applyFill="1" applyBorder="1" applyAlignment="1">
      <alignment horizontal="center" vertical="center"/>
    </xf>
    <xf numFmtId="166" fontId="14" fillId="16" borderId="0" xfId="0" applyNumberFormat="1" applyFont="1" applyFill="1" applyAlignment="1">
      <alignment horizontal="center" vertical="center"/>
    </xf>
    <xf numFmtId="166" fontId="14" fillId="16" borderId="5" xfId="0" applyNumberFormat="1" applyFont="1" applyFill="1" applyBorder="1" applyAlignment="1">
      <alignment horizontal="center" vertical="center"/>
    </xf>
    <xf numFmtId="166" fontId="14" fillId="16" borderId="5" xfId="0" applyNumberFormat="1" applyFont="1" applyFill="1" applyBorder="1" applyAlignment="1">
      <alignment horizontal="center" vertical="center" wrapText="1"/>
    </xf>
    <xf numFmtId="166" fontId="14" fillId="6" borderId="0" xfId="0" applyNumberFormat="1" applyFont="1" applyFill="1" applyAlignment="1">
      <alignment horizontal="center" vertical="center" wrapText="1"/>
    </xf>
    <xf numFmtId="166" fontId="14" fillId="6" borderId="5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6" fontId="14" fillId="6" borderId="6" xfId="0" applyNumberFormat="1" applyFont="1" applyFill="1" applyBorder="1" applyAlignment="1">
      <alignment horizontal="center" vertical="center"/>
    </xf>
    <xf numFmtId="166" fontId="14" fillId="6" borderId="6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167" fontId="14" fillId="6" borderId="6" xfId="0" applyNumberFormat="1" applyFont="1" applyFill="1" applyBorder="1" applyAlignment="1">
      <alignment horizontal="center" vertical="center"/>
    </xf>
    <xf numFmtId="167" fontId="14" fillId="6" borderId="0" xfId="0" applyNumberFormat="1" applyFont="1" applyFill="1" applyAlignment="1">
      <alignment horizontal="center" vertical="center"/>
    </xf>
    <xf numFmtId="167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 wrapText="1"/>
    </xf>
    <xf numFmtId="166" fontId="14" fillId="5" borderId="6" xfId="0" applyNumberFormat="1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166" fontId="24" fillId="2" borderId="17" xfId="0" applyNumberFormat="1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right"/>
    </xf>
    <xf numFmtId="0" fontId="24" fillId="2" borderId="18" xfId="0" applyFont="1" applyFill="1" applyBorder="1" applyAlignment="1">
      <alignment horizontal="right"/>
    </xf>
    <xf numFmtId="0" fontId="24" fillId="2" borderId="17" xfId="0" applyFont="1" applyFill="1" applyBorder="1" applyAlignment="1">
      <alignment horizontal="right"/>
    </xf>
    <xf numFmtId="165" fontId="24" fillId="4" borderId="0" xfId="0" applyNumberFormat="1" applyFont="1" applyFill="1" applyAlignment="1">
      <alignment horizontal="center" vertical="center" wrapText="1"/>
    </xf>
    <xf numFmtId="0" fontId="14" fillId="8" borderId="1" xfId="0" applyFont="1" applyFill="1" applyBorder="1" applyAlignment="1">
      <alignment horizontal="left" indent="1"/>
    </xf>
    <xf numFmtId="0" fontId="14" fillId="8" borderId="0" xfId="0" applyFont="1" applyFill="1" applyAlignment="1">
      <alignment horizontal="left" indent="1"/>
    </xf>
    <xf numFmtId="0" fontId="0" fillId="2" borderId="0" xfId="0" applyFill="1"/>
    <xf numFmtId="0" fontId="0" fillId="4" borderId="17" xfId="0" applyFill="1" applyBorder="1"/>
    <xf numFmtId="37" fontId="24" fillId="4" borderId="13" xfId="1" applyFont="1" applyFill="1" applyBorder="1"/>
    <xf numFmtId="37" fontId="24" fillId="4" borderId="12" xfId="1" applyFont="1" applyFill="1" applyBorder="1"/>
    <xf numFmtId="37" fontId="24" fillId="4" borderId="11" xfId="1" applyFont="1" applyFill="1" applyBorder="1"/>
    <xf numFmtId="0" fontId="7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/>
    </xf>
    <xf numFmtId="0" fontId="26" fillId="2" borderId="0" xfId="0" applyFont="1" applyFill="1" applyAlignment="1">
      <alignment horizontal="left" wrapText="1"/>
    </xf>
    <xf numFmtId="10" fontId="1" fillId="0" borderId="0" xfId="3" applyNumberFormat="1"/>
    <xf numFmtId="37" fontId="7" fillId="0" borderId="0" xfId="0" applyNumberFormat="1" applyFont="1"/>
    <xf numFmtId="171" fontId="8" fillId="17" borderId="17" xfId="2" applyFont="1" applyFill="1" applyBorder="1"/>
    <xf numFmtId="177" fontId="26" fillId="0" borderId="0" xfId="5" applyNumberFormat="1" applyFont="1" applyAlignment="1">
      <alignment horizontal="center"/>
    </xf>
  </cellXfs>
  <cellStyles count="6">
    <cellStyle name="Comma" xfId="1" builtinId="3"/>
    <cellStyle name="Comma with Decimals" xfId="5" xr:uid="{06EC9078-FC92-4CB9-A4E5-50732BD6BEA3}"/>
    <cellStyle name="Currency" xfId="2" builtinId="4"/>
    <cellStyle name="Heading Colour 1" xfId="4" xr:uid="{E5A27BE9-0905-4569-9DE1-BDA534AA6634}"/>
    <cellStyle name="Normal" xfId="0" builtinId="0"/>
    <cellStyle name="Percent" xfId="3" builtinId="5"/>
  </cellStyles>
  <dxfs count="13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EF5A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ustom 8">
      <a:dk1>
        <a:sysClr val="windowText" lastClr="000000"/>
      </a:dk1>
      <a:lt1>
        <a:sysClr val="window" lastClr="FFFFFF"/>
      </a:lt1>
      <a:dk2>
        <a:srgbClr val="107F8A"/>
      </a:dk2>
      <a:lt2>
        <a:srgbClr val="E8E8E8"/>
      </a:lt2>
      <a:accent1>
        <a:srgbClr val="156082"/>
      </a:accent1>
      <a:accent2>
        <a:srgbClr val="EF5A27"/>
      </a:accent2>
      <a:accent3>
        <a:srgbClr val="0C3343"/>
      </a:accent3>
      <a:accent4>
        <a:srgbClr val="0F9ED5"/>
      </a:accent4>
      <a:accent5>
        <a:srgbClr val="F2F2F2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82324-58F8-4DA9-80D9-2D39EBF228B2}">
  <sheetPr>
    <tabColor rgb="FF92D050"/>
    <pageSetUpPr fitToPage="1"/>
  </sheetPr>
  <dimension ref="A1:OO54"/>
  <sheetViews>
    <sheetView tabSelected="1" zoomScale="80" zoomScaleNormal="80" workbookViewId="0">
      <selection activeCell="J31" sqref="J31"/>
    </sheetView>
  </sheetViews>
  <sheetFormatPr defaultColWidth="9.85546875" defaultRowHeight="15" x14ac:dyDescent="0.25"/>
  <cols>
    <col min="1" max="1" width="1.140625" style="12" customWidth="1"/>
    <col min="2" max="2" width="3.85546875" style="12" customWidth="1"/>
    <col min="3" max="4" width="2.28515625" style="12" customWidth="1"/>
    <col min="5" max="5" width="31.5703125" style="12" customWidth="1"/>
    <col min="6" max="6" width="18.140625" style="12" customWidth="1"/>
    <col min="7" max="7" width="11.5703125" style="12" customWidth="1"/>
    <col min="8" max="8" width="17" style="12" customWidth="1"/>
    <col min="9" max="9" width="11.42578125" style="12" customWidth="1"/>
    <col min="10" max="11" width="16.42578125" style="12" customWidth="1"/>
    <col min="12" max="12" width="11" style="12" customWidth="1"/>
    <col min="13" max="13" width="15.85546875" style="12" customWidth="1"/>
    <col min="14" max="14" width="17" style="12" customWidth="1"/>
    <col min="15" max="15" width="11.42578125" style="12" customWidth="1"/>
    <col min="16" max="16" width="17.5703125" style="12" customWidth="1"/>
    <col min="17" max="18" width="16.42578125" style="12" customWidth="1"/>
    <col min="19" max="19" width="6.5703125" style="12" customWidth="1"/>
    <col min="20" max="20" width="6.5703125" style="13" customWidth="1"/>
    <col min="21" max="21" width="6.5703125" style="12" customWidth="1"/>
    <col min="22" max="22" width="4.42578125" style="12" customWidth="1"/>
    <col min="23" max="23" width="59" style="12" customWidth="1"/>
    <col min="24" max="27" width="14.140625" style="12" customWidth="1"/>
    <col min="28" max="28" width="2.85546875" style="12" customWidth="1"/>
    <col min="29" max="29" width="5.5703125" style="12" customWidth="1"/>
    <col min="30" max="30" width="6" style="13" customWidth="1"/>
    <col min="31" max="31" width="6" style="12" customWidth="1"/>
    <col min="32" max="32" width="4.42578125" style="12" customWidth="1"/>
    <col min="33" max="33" width="25.7109375" style="12" customWidth="1"/>
    <col min="34" max="36" width="19.140625" style="12" customWidth="1"/>
    <col min="37" max="37" width="6.5703125" style="12" customWidth="1"/>
    <col min="38" max="38" width="3.85546875" style="13" customWidth="1"/>
    <col min="39" max="39" width="2.28515625" style="12" customWidth="1"/>
    <col min="40" max="40" width="3.85546875" style="12" customWidth="1"/>
    <col min="41" max="42" width="2.28515625" style="12" customWidth="1"/>
    <col min="43" max="43" width="23.7109375" style="12" customWidth="1"/>
    <col min="44" max="44" width="2.42578125" style="12" customWidth="1"/>
    <col min="45" max="45" width="15.85546875" style="12" hidden="1" customWidth="1"/>
    <col min="46" max="46" width="16.42578125" style="12" hidden="1" customWidth="1"/>
    <col min="47" max="47" width="2.28515625" style="12" hidden="1" customWidth="1"/>
    <col min="48" max="48" width="14.7109375" style="12" hidden="1" customWidth="1"/>
    <col min="49" max="49" width="15.85546875" style="12" hidden="1" customWidth="1"/>
    <col min="50" max="50" width="11.5703125" style="12" hidden="1" customWidth="1"/>
    <col min="51" max="51" width="1.7109375" style="12" hidden="1" customWidth="1"/>
    <col min="52" max="52" width="14.7109375" style="12" hidden="1" customWidth="1"/>
    <col min="53" max="53" width="15.85546875" style="12" hidden="1" customWidth="1"/>
    <col min="54" max="54" width="11.5703125" style="12" hidden="1" customWidth="1"/>
    <col min="55" max="55" width="2.28515625" style="12" hidden="1" customWidth="1"/>
    <col min="56" max="56" width="14.7109375" style="12" hidden="1" customWidth="1"/>
    <col min="57" max="57" width="15.85546875" style="12" hidden="1" customWidth="1"/>
    <col min="58" max="58" width="11.5703125" style="12" hidden="1" customWidth="1"/>
    <col min="59" max="59" width="2.28515625" style="12" hidden="1" customWidth="1"/>
    <col min="60" max="60" width="14.7109375" style="12" hidden="1" customWidth="1"/>
    <col min="61" max="61" width="15.85546875" style="12" hidden="1" customWidth="1"/>
    <col min="62" max="62" width="11.5703125" style="12" hidden="1" customWidth="1"/>
    <col min="63" max="63" width="1.7109375" style="12" hidden="1" customWidth="1"/>
    <col min="64" max="64" width="14.7109375" style="12" hidden="1" customWidth="1"/>
    <col min="65" max="65" width="15.85546875" style="12" hidden="1" customWidth="1"/>
    <col min="66" max="66" width="11.5703125" style="12" hidden="1" customWidth="1"/>
    <col min="67" max="67" width="1.7109375" style="12" hidden="1" customWidth="1"/>
    <col min="68" max="68" width="14.7109375" style="12" hidden="1" customWidth="1"/>
    <col min="69" max="69" width="15.85546875" style="12" hidden="1" customWidth="1"/>
    <col min="70" max="70" width="11.5703125" style="12" hidden="1" customWidth="1"/>
    <col min="71" max="71" width="1.7109375" style="12" hidden="1" customWidth="1"/>
    <col min="72" max="72" width="17.5703125" style="12" hidden="1" customWidth="1"/>
    <col min="73" max="80" width="15.85546875" style="12" hidden="1" customWidth="1"/>
    <col min="81" max="81" width="15.85546875" style="12" customWidth="1"/>
    <col min="82" max="82" width="14.7109375" style="12" customWidth="1"/>
    <col min="83" max="83" width="15.85546875" style="12" hidden="1" customWidth="1"/>
    <col min="84" max="84" width="17.5703125" style="12" customWidth="1"/>
    <col min="85" max="85" width="14.42578125" style="12" customWidth="1"/>
    <col min="86" max="86" width="10.5703125" style="12" bestFit="1" customWidth="1"/>
    <col min="87" max="87" width="13.5703125" style="12" customWidth="1"/>
    <col min="88" max="88" width="12.5703125" style="12" bestFit="1" customWidth="1"/>
    <col min="89" max="89" width="9.85546875" style="12" customWidth="1"/>
    <col min="90" max="90" width="2.85546875" style="13" customWidth="1"/>
    <col min="91" max="91" width="2.85546875" style="12" customWidth="1"/>
    <col min="92" max="92" width="4.42578125" style="12" customWidth="1"/>
    <col min="93" max="93" width="16.42578125" style="12" customWidth="1"/>
    <col min="94" max="94" width="14.85546875" style="12" customWidth="1"/>
    <col min="95" max="95" width="16.42578125" style="12" bestFit="1" customWidth="1"/>
    <col min="96" max="96" width="14.85546875" style="12" customWidth="1"/>
    <col min="97" max="97" width="16.7109375" style="12" bestFit="1" customWidth="1"/>
    <col min="98" max="98" width="14.85546875" style="12" customWidth="1"/>
    <col min="99" max="99" width="16.7109375" style="12" customWidth="1"/>
    <col min="100" max="100" width="14.85546875" style="12" customWidth="1"/>
    <col min="101" max="101" width="16.7109375" style="12" bestFit="1" customWidth="1"/>
    <col min="102" max="102" width="2.85546875" style="12" customWidth="1"/>
    <col min="103" max="103" width="2.85546875" style="13" customWidth="1"/>
    <col min="104" max="104" width="2.85546875" style="12" customWidth="1"/>
    <col min="105" max="105" width="5" style="12" customWidth="1"/>
    <col min="106" max="106" width="16.42578125" style="12" customWidth="1"/>
    <col min="107" max="107" width="15.85546875" style="12" customWidth="1"/>
    <col min="108" max="108" width="15.85546875" style="16" customWidth="1"/>
    <col min="109" max="110" width="15.85546875" style="12" customWidth="1"/>
    <col min="111" max="111" width="19.140625" style="12" customWidth="1"/>
    <col min="112" max="112" width="2.85546875" style="12" customWidth="1"/>
    <col min="113" max="113" width="2.85546875" style="13" customWidth="1"/>
    <col min="114" max="114" width="2.85546875" style="12" customWidth="1"/>
    <col min="115" max="115" width="5" style="12" customWidth="1"/>
    <col min="116" max="116" width="14.85546875" style="12" customWidth="1"/>
    <col min="117" max="117" width="17" style="12" customWidth="1"/>
    <col min="118" max="118" width="17" style="16" customWidth="1"/>
    <col min="119" max="120" width="17" style="12" customWidth="1"/>
    <col min="121" max="121" width="2.85546875" style="12" customWidth="1"/>
    <col min="122" max="122" width="2.85546875" style="13" customWidth="1"/>
    <col min="123" max="123" width="2.28515625" style="12" customWidth="1"/>
    <col min="124" max="124" width="5" style="12" customWidth="1"/>
    <col min="125" max="125" width="33.28515625" style="17" customWidth="1"/>
    <col min="126" max="126" width="14.85546875" style="18" customWidth="1"/>
    <col min="127" max="127" width="15.85546875" style="18" customWidth="1"/>
    <col min="128" max="128" width="15.85546875" style="18" bestFit="1" customWidth="1"/>
    <col min="129" max="129" width="16.42578125" style="18" bestFit="1" customWidth="1"/>
    <col min="130" max="131" width="14.85546875" style="12" customWidth="1"/>
    <col min="132" max="133" width="16.42578125" style="12" bestFit="1" customWidth="1"/>
    <col min="134" max="134" width="2.85546875" style="12" customWidth="1"/>
    <col min="135" max="135" width="2.85546875" style="13" customWidth="1"/>
    <col min="136" max="136" width="2.85546875" style="12" customWidth="1"/>
    <col min="137" max="137" width="5" style="12" customWidth="1"/>
    <col min="138" max="138" width="16.42578125" style="12" customWidth="1"/>
    <col min="139" max="146" width="14.85546875" style="12" customWidth="1"/>
    <col min="147" max="147" width="2.85546875" style="12" customWidth="1"/>
    <col min="148" max="148" width="2.85546875" style="13" customWidth="1"/>
    <col min="149" max="149" width="2.85546875" style="12" customWidth="1"/>
    <col min="150" max="150" width="4.42578125" style="12" customWidth="1"/>
    <col min="151" max="151" width="15.85546875" style="12" customWidth="1"/>
    <col min="152" max="153" width="14.85546875" style="12" bestFit="1" customWidth="1"/>
    <col min="154" max="154" width="14" style="12" bestFit="1" customWidth="1"/>
    <col min="155" max="155" width="14.85546875" style="12" bestFit="1" customWidth="1"/>
    <col min="156" max="156" width="13.7109375" style="12" customWidth="1"/>
    <col min="157" max="158" width="14.85546875" style="12" bestFit="1" customWidth="1"/>
    <col min="159" max="159" width="15.140625" style="12" bestFit="1" customWidth="1"/>
    <col min="160" max="160" width="15.85546875" style="12" customWidth="1"/>
    <col min="161" max="161" width="21" style="12" customWidth="1"/>
    <col min="162" max="162" width="15.85546875" style="12" customWidth="1"/>
    <col min="163" max="163" width="2.85546875" style="12" customWidth="1"/>
    <col min="164" max="164" width="2.85546875" style="13" customWidth="1"/>
    <col min="165" max="165" width="2.85546875" style="12" customWidth="1"/>
    <col min="166" max="166" width="5" style="12" customWidth="1"/>
    <col min="167" max="167" width="1.140625" style="12" customWidth="1"/>
    <col min="168" max="168" width="36.5703125" style="12" customWidth="1"/>
    <col min="169" max="170" width="14.85546875" style="12" bestFit="1" customWidth="1"/>
    <col min="171" max="171" width="15.140625" style="12" bestFit="1" customWidth="1"/>
    <col min="172" max="172" width="16.42578125" style="12" bestFit="1" customWidth="1"/>
    <col min="173" max="173" width="14.28515625" style="12" bestFit="1" customWidth="1"/>
    <col min="174" max="175" width="15.140625" style="12" bestFit="1" customWidth="1"/>
    <col min="176" max="176" width="14.85546875" style="12" bestFit="1" customWidth="1"/>
    <col min="177" max="177" width="20.28515625" style="12" customWidth="1"/>
    <col min="178" max="178" width="2.85546875" style="12" customWidth="1"/>
    <col min="179" max="179" width="2.85546875" style="13" customWidth="1"/>
    <col min="180" max="180" width="2.85546875" style="12" customWidth="1"/>
    <col min="181" max="181" width="9.85546875" style="12" customWidth="1"/>
    <col min="182" max="182" width="26.28515625" style="12" customWidth="1"/>
    <col min="183" max="183" width="12.85546875" style="12" bestFit="1" customWidth="1"/>
    <col min="184" max="184" width="12.5703125" style="12" bestFit="1" customWidth="1"/>
    <col min="185" max="185" width="14.28515625" style="12" bestFit="1" customWidth="1"/>
    <col min="186" max="186" width="15.140625" style="12" bestFit="1" customWidth="1"/>
    <col min="187" max="187" width="11" style="12" bestFit="1" customWidth="1"/>
    <col min="188" max="188" width="11.7109375" style="12" customWidth="1"/>
    <col min="189" max="189" width="12.140625" style="12" bestFit="1" customWidth="1"/>
    <col min="190" max="190" width="12.5703125" style="12" bestFit="1" customWidth="1"/>
    <col min="191" max="191" width="2.85546875" style="12" customWidth="1"/>
    <col min="192" max="192" width="2.85546875" style="13" customWidth="1"/>
    <col min="193" max="193" width="2.85546875" style="12" customWidth="1"/>
    <col min="194" max="194" width="5" style="12" customWidth="1"/>
    <col min="195" max="195" width="15.85546875" style="12" customWidth="1"/>
    <col min="196" max="198" width="16.42578125" style="12" customWidth="1"/>
    <col min="199" max="199" width="18.42578125" style="12" bestFit="1" customWidth="1"/>
    <col min="200" max="203" width="16.42578125" style="12" customWidth="1"/>
    <col min="204" max="204" width="2.85546875" style="12" customWidth="1"/>
    <col min="205" max="205" width="2.85546875" style="13" customWidth="1"/>
    <col min="206" max="206" width="2.85546875" style="12" customWidth="1"/>
    <col min="207" max="207" width="2.7109375" style="12" customWidth="1"/>
    <col min="208" max="208" width="5.42578125" style="12" customWidth="1"/>
    <col min="209" max="209" width="8.85546875" style="12" bestFit="1" customWidth="1"/>
    <col min="210" max="210" width="15" style="12" bestFit="1" customWidth="1"/>
    <col min="211" max="211" width="14.42578125" style="12" bestFit="1" customWidth="1"/>
    <col min="212" max="213" width="21.85546875" style="12" bestFit="1" customWidth="1"/>
    <col min="214" max="214" width="8.140625" style="12" bestFit="1" customWidth="1"/>
    <col min="215" max="215" width="9.5703125" style="12" bestFit="1" customWidth="1"/>
    <col min="216" max="218" width="9.85546875" style="12" bestFit="1" customWidth="1"/>
    <col min="219" max="219" width="3.85546875" style="12" customWidth="1"/>
    <col min="220" max="220" width="3.85546875" style="13" customWidth="1"/>
    <col min="221" max="221" width="3.85546875" style="12" customWidth="1"/>
    <col min="222" max="222" width="5" style="12" customWidth="1"/>
    <col min="223" max="223" width="10.85546875" style="12" customWidth="1"/>
    <col min="224" max="224" width="11.28515625" style="12" customWidth="1"/>
    <col min="225" max="225" width="18.42578125" style="12" customWidth="1"/>
    <col min="226" max="226" width="14.42578125" style="12" bestFit="1" customWidth="1"/>
    <col min="227" max="227" width="17.85546875" style="12" bestFit="1" customWidth="1"/>
    <col min="228" max="228" width="18.140625" style="12" bestFit="1" customWidth="1"/>
    <col min="229" max="229" width="16.7109375" style="12" bestFit="1" customWidth="1"/>
    <col min="230" max="230" width="15.85546875" style="12" bestFit="1" customWidth="1"/>
    <col min="231" max="232" width="14.85546875" style="12" customWidth="1"/>
    <col min="233" max="233" width="15.5703125" style="12" bestFit="1" customWidth="1"/>
    <col min="234" max="234" width="14.7109375" style="12" bestFit="1" customWidth="1"/>
    <col min="235" max="235" width="3.85546875" style="12" customWidth="1"/>
    <col min="236" max="236" width="3.85546875" style="13" customWidth="1"/>
    <col min="237" max="237" width="3.85546875" style="12" customWidth="1"/>
    <col min="238" max="238" width="5" style="12" customWidth="1"/>
    <col min="239" max="239" width="15.42578125" style="12" customWidth="1"/>
    <col min="240" max="240" width="8.140625" style="12" customWidth="1"/>
    <col min="241" max="241" width="9.85546875" style="12" customWidth="1"/>
    <col min="242" max="243" width="16.7109375" style="12" bestFit="1" customWidth="1"/>
    <col min="244" max="244" width="14.85546875" style="12" bestFit="1" customWidth="1"/>
    <col min="245" max="245" width="14.85546875" style="411" bestFit="1" customWidth="1"/>
    <col min="246" max="246" width="16.42578125" style="12" bestFit="1" customWidth="1"/>
    <col min="247" max="247" width="15.42578125" style="411" bestFit="1" customWidth="1"/>
    <col min="248" max="248" width="16.42578125" style="12" bestFit="1" customWidth="1"/>
    <col min="249" max="249" width="15.85546875" style="12" bestFit="1" customWidth="1"/>
    <col min="250" max="250" width="15.140625" style="12" bestFit="1" customWidth="1"/>
    <col min="251" max="251" width="14.28515625" style="12" bestFit="1" customWidth="1"/>
    <col min="252" max="253" width="14.85546875" style="12" bestFit="1" customWidth="1"/>
    <col min="254" max="255" width="15.140625" style="12" bestFit="1" customWidth="1"/>
    <col min="256" max="256" width="14.85546875" style="12" bestFit="1" customWidth="1"/>
    <col min="257" max="257" width="16.42578125" style="12" bestFit="1" customWidth="1"/>
    <col min="258" max="258" width="21.85546875" style="12" customWidth="1"/>
    <col min="259" max="259" width="25.7109375" style="12" customWidth="1"/>
    <col min="260" max="260" width="19.7109375" style="12" bestFit="1" customWidth="1"/>
    <col min="261" max="261" width="3.28515625" style="12" customWidth="1"/>
    <col min="262" max="262" width="3.28515625" style="13" customWidth="1"/>
    <col min="263" max="263" width="2.28515625" style="12" customWidth="1"/>
    <col min="264" max="264" width="6.140625" style="12" customWidth="1"/>
    <col min="265" max="265" width="9.42578125" style="12" customWidth="1"/>
    <col min="266" max="266" width="8.42578125" style="12" bestFit="1" customWidth="1"/>
    <col min="267" max="267" width="9.42578125" style="12" customWidth="1"/>
    <col min="268" max="269" width="15.85546875" style="12" customWidth="1"/>
    <col min="270" max="270" width="8.28515625" style="12" customWidth="1"/>
    <col min="271" max="271" width="9.42578125" style="12" customWidth="1"/>
    <col min="272" max="272" width="8.42578125" style="12" bestFit="1" customWidth="1"/>
    <col min="273" max="273" width="9.85546875" style="12" customWidth="1"/>
    <col min="274" max="274" width="3.85546875" style="12" customWidth="1"/>
    <col min="275" max="275" width="3.85546875" style="13" customWidth="1"/>
    <col min="276" max="276" width="3.85546875" style="12" customWidth="1"/>
    <col min="277" max="277" width="4.85546875" style="12" customWidth="1"/>
    <col min="278" max="278" width="12" style="12" customWidth="1"/>
    <col min="279" max="279" width="11.5703125" style="12" customWidth="1"/>
    <col min="280" max="282" width="12.5703125" style="12" customWidth="1"/>
    <col min="283" max="284" width="18.140625" style="12" bestFit="1" customWidth="1"/>
    <col min="285" max="285" width="15.85546875" style="12" bestFit="1" customWidth="1"/>
    <col min="286" max="286" width="17.28515625" style="12" bestFit="1" customWidth="1"/>
    <col min="287" max="288" width="15.140625" style="12" bestFit="1" customWidth="1"/>
    <col min="289" max="289" width="16.7109375" style="12" bestFit="1" customWidth="1"/>
    <col min="290" max="290" width="17.85546875" style="12" bestFit="1" customWidth="1"/>
    <col min="291" max="291" width="3.85546875" style="12" customWidth="1"/>
    <col min="292" max="292" width="3.85546875" style="13" customWidth="1"/>
    <col min="293" max="293" width="3.85546875" style="12" customWidth="1"/>
    <col min="294" max="294" width="4.85546875" style="12" customWidth="1"/>
    <col min="295" max="295" width="20.5703125" style="12" customWidth="1"/>
    <col min="296" max="296" width="11" style="12" customWidth="1"/>
    <col min="297" max="297" width="16.7109375" style="12" customWidth="1"/>
    <col min="298" max="298" width="15.85546875" style="12" bestFit="1" customWidth="1"/>
    <col min="299" max="299" width="16.7109375" style="12" bestFit="1" customWidth="1"/>
    <col min="300" max="300" width="14.28515625" style="12" customWidth="1"/>
    <col min="301" max="301" width="14.28515625" style="411" customWidth="1"/>
    <col min="302" max="302" width="14.28515625" style="12" customWidth="1"/>
    <col min="303" max="303" width="16.42578125" style="411" bestFit="1" customWidth="1"/>
    <col min="304" max="304" width="14.28515625" style="411" customWidth="1"/>
    <col min="305" max="305" width="16.42578125" style="12" bestFit="1" customWidth="1"/>
    <col min="306" max="306" width="14.28515625" style="12" customWidth="1"/>
    <col min="307" max="307" width="15.140625" style="12" bestFit="1" customWidth="1"/>
    <col min="308" max="311" width="14.28515625" style="12" customWidth="1"/>
    <col min="312" max="312" width="15.42578125" style="12" bestFit="1" customWidth="1"/>
    <col min="313" max="313" width="16.42578125" style="12" bestFit="1" customWidth="1"/>
    <col min="314" max="314" width="17" style="12" customWidth="1"/>
    <col min="315" max="315" width="16.7109375" style="12" bestFit="1" customWidth="1"/>
    <col min="316" max="316" width="6.5703125" style="12" customWidth="1"/>
    <col min="317" max="317" width="2.28515625" style="13" customWidth="1"/>
    <col min="318" max="319" width="6.5703125" style="12" customWidth="1"/>
    <col min="320" max="320" width="9.42578125" style="12" customWidth="1"/>
    <col min="321" max="321" width="18" style="12" customWidth="1"/>
    <col min="322" max="322" width="17.5703125" style="12" customWidth="1"/>
    <col min="323" max="323" width="17.85546875" style="12" bestFit="1" customWidth="1"/>
    <col min="324" max="324" width="16.7109375" style="12" bestFit="1" customWidth="1"/>
    <col min="325" max="325" width="16.42578125" style="12" bestFit="1" customWidth="1"/>
    <col min="326" max="326" width="16.7109375" style="12" bestFit="1" customWidth="1"/>
    <col min="327" max="328" width="15.140625" style="12" bestFit="1" customWidth="1"/>
    <col min="329" max="329" width="16.7109375" style="12" bestFit="1" customWidth="1"/>
    <col min="330" max="330" width="9.85546875" style="12"/>
    <col min="331" max="331" width="2.7109375" style="13" customWidth="1"/>
    <col min="332" max="332" width="2.7109375" style="12" customWidth="1"/>
    <col min="333" max="333" width="15.85546875" style="12" customWidth="1"/>
    <col min="334" max="334" width="32.28515625" style="12" bestFit="1" customWidth="1"/>
    <col min="335" max="335" width="15.85546875" style="12" customWidth="1"/>
    <col min="336" max="336" width="2.7109375" style="12" customWidth="1"/>
    <col min="337" max="337" width="2.7109375" style="13" customWidth="1"/>
    <col min="338" max="338" width="2.7109375" style="12" customWidth="1"/>
    <col min="339" max="339" width="3.85546875" style="18" customWidth="1"/>
    <col min="340" max="340" width="58.42578125" style="18" customWidth="1"/>
    <col min="341" max="341" width="17.5703125" style="12" bestFit="1" customWidth="1"/>
    <col min="342" max="342" width="19.5703125" style="12" customWidth="1"/>
    <col min="343" max="343" width="16.42578125" style="12" hidden="1" customWidth="1"/>
    <col min="344" max="344" width="20.85546875" style="12" bestFit="1" customWidth="1"/>
    <col min="345" max="345" width="20.7109375" style="12" customWidth="1"/>
    <col min="346" max="346" width="3.85546875" style="12" customWidth="1"/>
    <col min="347" max="347" width="2.7109375" style="13" customWidth="1"/>
    <col min="348" max="348" width="2.7109375" style="12" customWidth="1"/>
    <col min="349" max="349" width="4.42578125" style="12" bestFit="1" customWidth="1"/>
    <col min="350" max="350" width="57.85546875" style="411" bestFit="1" customWidth="1"/>
    <col min="351" max="351" width="24.85546875" style="12" customWidth="1"/>
    <col min="352" max="352" width="25.5703125" style="12" bestFit="1" customWidth="1"/>
    <col min="353" max="353" width="17.5703125" style="12" bestFit="1" customWidth="1"/>
    <col min="354" max="354" width="13.5703125" style="12" customWidth="1"/>
    <col min="355" max="355" width="3.85546875" style="12" customWidth="1"/>
    <col min="356" max="356" width="2.7109375" style="13" customWidth="1"/>
    <col min="357" max="357" width="2.7109375" style="12" customWidth="1"/>
    <col min="358" max="405" width="9.85546875" style="29"/>
    <col min="406" max="16384" width="9.85546875" style="12"/>
  </cols>
  <sheetData>
    <row r="1" spans="1:405" s="5" customFormat="1" ht="16.5" x14ac:dyDescent="0.3">
      <c r="A1" s="1019" t="s">
        <v>0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19"/>
      <c r="P1" s="1019"/>
      <c r="Q1" s="1019"/>
      <c r="R1" s="1019"/>
      <c r="S1" s="2"/>
      <c r="T1" s="3"/>
      <c r="U1" s="2"/>
      <c r="V1" s="2"/>
      <c r="W1" s="1019" t="s">
        <v>1</v>
      </c>
      <c r="X1" s="1019"/>
      <c r="Y1" s="1019"/>
      <c r="Z1" s="1019"/>
      <c r="AA1" s="1019"/>
      <c r="AB1" s="1"/>
      <c r="AC1" s="1"/>
      <c r="AD1" s="3"/>
      <c r="AE1" s="2"/>
      <c r="AF1" s="1019" t="s">
        <v>2</v>
      </c>
      <c r="AG1" s="1019"/>
      <c r="AH1" s="1019"/>
      <c r="AI1" s="1019"/>
      <c r="AJ1" s="1019"/>
      <c r="AK1" s="2"/>
      <c r="AL1" s="3"/>
      <c r="AM1" s="1019" t="s">
        <v>3</v>
      </c>
      <c r="AN1" s="1019"/>
      <c r="AO1" s="1019"/>
      <c r="AP1" s="1019"/>
      <c r="AQ1" s="1019"/>
      <c r="AR1" s="1019"/>
      <c r="AS1" s="1019"/>
      <c r="AT1" s="1019"/>
      <c r="AU1" s="1019"/>
      <c r="AV1" s="1019"/>
      <c r="AW1" s="1019"/>
      <c r="AX1" s="1019"/>
      <c r="AY1" s="1019"/>
      <c r="AZ1" s="1019"/>
      <c r="BA1" s="1019"/>
      <c r="BB1" s="1019"/>
      <c r="BC1" s="1019"/>
      <c r="BD1" s="1019"/>
      <c r="BE1" s="1019"/>
      <c r="BF1" s="1019"/>
      <c r="BG1" s="1019"/>
      <c r="BH1" s="1019"/>
      <c r="BI1" s="1019"/>
      <c r="BJ1" s="1019"/>
      <c r="BK1" s="1019"/>
      <c r="BL1" s="1019"/>
      <c r="BM1" s="1019"/>
      <c r="BN1" s="1019"/>
      <c r="BO1" s="1019"/>
      <c r="BP1" s="1019"/>
      <c r="BQ1" s="1019"/>
      <c r="BR1" s="1019"/>
      <c r="BS1" s="1019"/>
      <c r="BT1" s="1019"/>
      <c r="BU1" s="1019"/>
      <c r="BV1" s="1019"/>
      <c r="BW1" s="1019"/>
      <c r="BX1" s="1019"/>
      <c r="BY1" s="1019"/>
      <c r="BZ1" s="1019"/>
      <c r="CA1" s="1019"/>
      <c r="CB1" s="1019"/>
      <c r="CC1" s="1019"/>
      <c r="CD1" s="1019"/>
      <c r="CE1" s="1019"/>
      <c r="CF1" s="1019"/>
      <c r="CG1" s="1019"/>
      <c r="CH1" s="1019"/>
      <c r="CI1" s="1019"/>
      <c r="CJ1" s="1019"/>
      <c r="CK1" s="2"/>
      <c r="CL1" s="3"/>
      <c r="CM1" s="1019" t="s">
        <v>4</v>
      </c>
      <c r="CN1" s="1019"/>
      <c r="CO1" s="1019"/>
      <c r="CP1" s="1019"/>
      <c r="CQ1" s="1019"/>
      <c r="CR1" s="1019"/>
      <c r="CS1" s="1019"/>
      <c r="CT1" s="1019"/>
      <c r="CU1" s="1019"/>
      <c r="CV1" s="1019"/>
      <c r="CW1" s="1019"/>
      <c r="CX1" s="1019"/>
      <c r="CY1" s="4"/>
      <c r="CZ1" s="1019" t="s">
        <v>5</v>
      </c>
      <c r="DA1" s="1019"/>
      <c r="DB1" s="1019"/>
      <c r="DC1" s="1019"/>
      <c r="DD1" s="1019"/>
      <c r="DE1" s="1019"/>
      <c r="DF1" s="1019"/>
      <c r="DG1" s="1019"/>
      <c r="DH1" s="1019"/>
      <c r="DI1" s="4"/>
      <c r="DJ1" s="1019" t="s">
        <v>6</v>
      </c>
      <c r="DK1" s="1019"/>
      <c r="DL1" s="1019"/>
      <c r="DM1" s="1019"/>
      <c r="DN1" s="1019"/>
      <c r="DO1" s="1019"/>
      <c r="DP1" s="1019"/>
      <c r="DQ1" s="1019"/>
      <c r="DR1" s="3"/>
      <c r="DS1" s="1019" t="s">
        <v>7</v>
      </c>
      <c r="DT1" s="1019"/>
      <c r="DU1" s="1019"/>
      <c r="DV1" s="1019"/>
      <c r="DW1" s="1019"/>
      <c r="DX1" s="1019"/>
      <c r="DY1" s="1019"/>
      <c r="DZ1" s="1019"/>
      <c r="EA1" s="1019"/>
      <c r="EB1" s="1019"/>
      <c r="EC1" s="1019"/>
      <c r="ED1" s="1019"/>
      <c r="EE1" s="4"/>
      <c r="EG1" s="1019" t="s">
        <v>8</v>
      </c>
      <c r="EH1" s="1019"/>
      <c r="EI1" s="1019"/>
      <c r="EJ1" s="1019"/>
      <c r="EK1" s="1019"/>
      <c r="EL1" s="1019"/>
      <c r="EM1" s="1019"/>
      <c r="EN1" s="1019"/>
      <c r="EO1" s="1019"/>
      <c r="EP1" s="1019"/>
      <c r="EQ1" s="2"/>
      <c r="ER1" s="4"/>
      <c r="ES1" s="2"/>
      <c r="ET1" s="1019" t="s">
        <v>9</v>
      </c>
      <c r="EU1" s="1019"/>
      <c r="EV1" s="1019"/>
      <c r="EW1" s="1019"/>
      <c r="EX1" s="1019"/>
      <c r="EY1" s="1019"/>
      <c r="EZ1" s="1019"/>
      <c r="FA1" s="1019"/>
      <c r="FB1" s="1019"/>
      <c r="FC1" s="1019"/>
      <c r="FD1" s="1019"/>
      <c r="FE1" s="1019"/>
      <c r="FF1" s="1019"/>
      <c r="FG1" s="2"/>
      <c r="FH1" s="4"/>
      <c r="FI1" s="1019" t="s">
        <v>10</v>
      </c>
      <c r="FJ1" s="1019"/>
      <c r="FK1" s="1019"/>
      <c r="FL1" s="1019"/>
      <c r="FM1" s="1019"/>
      <c r="FN1" s="1019"/>
      <c r="FO1" s="1019"/>
      <c r="FP1" s="1019"/>
      <c r="FQ1" s="1019"/>
      <c r="FR1" s="1019"/>
      <c r="FS1" s="1019"/>
      <c r="FT1" s="1019"/>
      <c r="FU1" s="1019"/>
      <c r="FV1" s="1019"/>
      <c r="FW1" s="4"/>
      <c r="FX1" s="1019" t="s">
        <v>11</v>
      </c>
      <c r="FY1" s="1019"/>
      <c r="FZ1" s="1019"/>
      <c r="GA1" s="1019"/>
      <c r="GB1" s="1019"/>
      <c r="GC1" s="1019"/>
      <c r="GD1" s="1019"/>
      <c r="GE1" s="1019"/>
      <c r="GF1" s="1019"/>
      <c r="GG1" s="1019"/>
      <c r="GH1" s="1019"/>
      <c r="GI1" s="1019"/>
      <c r="GJ1" s="3"/>
      <c r="GK1" s="1019" t="s">
        <v>12</v>
      </c>
      <c r="GL1" s="1019"/>
      <c r="GM1" s="1019"/>
      <c r="GN1" s="1019"/>
      <c r="GO1" s="1019"/>
      <c r="GP1" s="1019"/>
      <c r="GQ1" s="1019"/>
      <c r="GR1" s="1019"/>
      <c r="GS1" s="1019"/>
      <c r="GT1" s="1019"/>
      <c r="GU1" s="1019"/>
      <c r="GV1" s="1019"/>
      <c r="GW1" s="4"/>
      <c r="GY1" s="1020" t="s">
        <v>13</v>
      </c>
      <c r="GZ1" s="1020"/>
      <c r="HA1" s="1020"/>
      <c r="HB1" s="1020"/>
      <c r="HC1" s="1020"/>
      <c r="HD1" s="1020"/>
      <c r="HE1" s="1020"/>
      <c r="HF1" s="1020"/>
      <c r="HG1" s="1020"/>
      <c r="HH1" s="1020"/>
      <c r="HI1" s="1020"/>
      <c r="HJ1" s="1020"/>
      <c r="HL1" s="3"/>
      <c r="HM1" s="2"/>
      <c r="HN1" s="1021" t="s">
        <v>14</v>
      </c>
      <c r="HO1" s="1021"/>
      <c r="HP1" s="1021"/>
      <c r="HQ1" s="1021"/>
      <c r="HR1" s="1021"/>
      <c r="HS1" s="1021"/>
      <c r="HT1" s="1021"/>
      <c r="HU1" s="1021"/>
      <c r="HV1" s="1021"/>
      <c r="HW1" s="1021"/>
      <c r="HX1" s="1021"/>
      <c r="HY1" s="1021"/>
      <c r="HZ1" s="1021"/>
      <c r="IA1" s="2"/>
      <c r="IB1" s="3"/>
      <c r="IC1" s="2"/>
      <c r="ID1" s="1021" t="s">
        <v>15</v>
      </c>
      <c r="IE1" s="1021"/>
      <c r="IF1" s="1021"/>
      <c r="IG1" s="1021"/>
      <c r="IH1" s="1021"/>
      <c r="II1" s="1021"/>
      <c r="IJ1" s="1021"/>
      <c r="IK1" s="1021"/>
      <c r="IL1" s="1021"/>
      <c r="IM1" s="1021"/>
      <c r="IN1" s="1021"/>
      <c r="IO1" s="1021"/>
      <c r="IP1" s="1021"/>
      <c r="IQ1" s="1021"/>
      <c r="IR1" s="1021"/>
      <c r="IS1" s="1021"/>
      <c r="IT1" s="1021"/>
      <c r="IU1" s="1021"/>
      <c r="IV1" s="1021"/>
      <c r="IW1" s="1021"/>
      <c r="IX1" s="1021"/>
      <c r="IY1" s="1021"/>
      <c r="IZ1" s="1021"/>
      <c r="JA1" s="1"/>
      <c r="JB1" s="4"/>
      <c r="JC1" s="2"/>
      <c r="JD1" s="1021" t="s">
        <v>16</v>
      </c>
      <c r="JE1" s="1021"/>
      <c r="JF1" s="1021"/>
      <c r="JG1" s="1021"/>
      <c r="JH1" s="1021"/>
      <c r="JI1" s="1021"/>
      <c r="JJ1" s="1021"/>
      <c r="JK1" s="1021"/>
      <c r="JL1" s="1021"/>
      <c r="JM1" s="1021"/>
      <c r="JO1" s="3"/>
      <c r="JQ1" s="1021" t="s">
        <v>17</v>
      </c>
      <c r="JR1" s="1021"/>
      <c r="JS1" s="1021"/>
      <c r="JT1" s="1021"/>
      <c r="JU1" s="1021"/>
      <c r="JV1" s="1021"/>
      <c r="JW1" s="1021"/>
      <c r="JX1" s="1021"/>
      <c r="JY1" s="1021"/>
      <c r="JZ1" s="1021"/>
      <c r="KA1" s="1021"/>
      <c r="KB1" s="1021"/>
      <c r="KC1" s="1021"/>
      <c r="KD1" s="1021"/>
      <c r="KE1" s="2"/>
      <c r="KF1" s="3"/>
      <c r="KG1" s="2"/>
      <c r="KH1" s="1025" t="s">
        <v>18</v>
      </c>
      <c r="KI1" s="1025"/>
      <c r="KJ1" s="1025"/>
      <c r="KK1" s="1025"/>
      <c r="KL1" s="1025"/>
      <c r="KM1" s="1025"/>
      <c r="KN1" s="1025"/>
      <c r="KO1" s="1025"/>
      <c r="KP1" s="1025"/>
      <c r="KQ1" s="1025"/>
      <c r="KR1" s="1025"/>
      <c r="KS1" s="1025"/>
      <c r="KT1" s="1025"/>
      <c r="KU1" s="1025"/>
      <c r="KV1" s="1025"/>
      <c r="KW1" s="1025"/>
      <c r="KX1" s="1025"/>
      <c r="KY1" s="1025"/>
      <c r="KZ1" s="1025"/>
      <c r="LA1" s="1025"/>
      <c r="LB1" s="1025"/>
      <c r="LC1" s="1025"/>
      <c r="LD1" s="1"/>
      <c r="LE1" s="4"/>
      <c r="LG1" s="1021" t="s">
        <v>19</v>
      </c>
      <c r="LH1" s="1021"/>
      <c r="LI1" s="1021"/>
      <c r="LJ1" s="1021"/>
      <c r="LK1" s="1021"/>
      <c r="LL1" s="1021"/>
      <c r="LM1" s="1021"/>
      <c r="LN1" s="1021"/>
      <c r="LO1" s="1021"/>
      <c r="LP1" s="1021"/>
      <c r="LQ1" s="1021"/>
      <c r="LR1" s="2"/>
      <c r="LS1" s="3"/>
      <c r="LT1" s="2"/>
      <c r="LU1" s="1021" t="s">
        <v>20</v>
      </c>
      <c r="LV1" s="1021"/>
      <c r="LW1" s="1021"/>
      <c r="LX1" s="2"/>
      <c r="LY1" s="3"/>
      <c r="LZ1" s="2"/>
      <c r="MA1" s="1014" t="s">
        <v>21</v>
      </c>
      <c r="MB1" s="1014"/>
      <c r="MC1" s="1014"/>
      <c r="MD1" s="1014"/>
      <c r="ME1" s="1014"/>
      <c r="MF1" s="1014"/>
      <c r="MG1" s="1014"/>
      <c r="MH1" s="2"/>
      <c r="MI1" s="3"/>
      <c r="MJ1" s="2"/>
      <c r="MK1" s="1015" t="s">
        <v>22</v>
      </c>
      <c r="ML1" s="1015"/>
      <c r="MM1" s="1015"/>
      <c r="MN1" s="1015"/>
      <c r="MO1" s="1015"/>
      <c r="MP1" s="1015"/>
      <c r="MQ1" s="2"/>
      <c r="MR1" s="3"/>
      <c r="MS1" s="2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</row>
    <row r="2" spans="1:405" ht="16.5" x14ac:dyDescent="0.3">
      <c r="A2" s="8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"/>
      <c r="AK2" s="11"/>
      <c r="AM2" s="14"/>
      <c r="AO2" s="14"/>
      <c r="AP2" s="14"/>
      <c r="AQ2" s="14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5"/>
      <c r="EQ2" s="19"/>
      <c r="ER2" s="20"/>
      <c r="FG2" s="19"/>
      <c r="FH2" s="20"/>
      <c r="FV2" s="14"/>
      <c r="GI2" s="14"/>
      <c r="GJ2" s="21"/>
      <c r="GY2" s="1020"/>
      <c r="GZ2" s="1020"/>
      <c r="HA2" s="1020"/>
      <c r="HB2" s="1020"/>
      <c r="HC2" s="1020"/>
      <c r="HD2" s="1020"/>
      <c r="HE2" s="1020"/>
      <c r="HF2" s="1020"/>
      <c r="HG2" s="1020"/>
      <c r="HH2" s="1020"/>
      <c r="HI2" s="1020"/>
      <c r="HJ2" s="1020"/>
      <c r="HK2" s="14"/>
      <c r="HN2" s="1021"/>
      <c r="HO2" s="1021"/>
      <c r="HP2" s="1021"/>
      <c r="HQ2" s="1021"/>
      <c r="HR2" s="1021"/>
      <c r="HS2" s="1021"/>
      <c r="HT2" s="1021"/>
      <c r="HU2" s="1021"/>
      <c r="HV2" s="1021"/>
      <c r="HW2" s="1021"/>
      <c r="HX2" s="1021"/>
      <c r="HY2" s="1021"/>
      <c r="HZ2" s="1021"/>
      <c r="ID2" s="1021"/>
      <c r="IE2" s="1021"/>
      <c r="IF2" s="1021"/>
      <c r="IG2" s="1021"/>
      <c r="IH2" s="1021"/>
      <c r="II2" s="1021"/>
      <c r="IJ2" s="1021"/>
      <c r="IK2" s="1021"/>
      <c r="IL2" s="1021"/>
      <c r="IM2" s="1021"/>
      <c r="IN2" s="1021"/>
      <c r="IO2" s="1021"/>
      <c r="IP2" s="1021"/>
      <c r="IQ2" s="1021"/>
      <c r="IR2" s="1021"/>
      <c r="IS2" s="1021"/>
      <c r="IT2" s="1021"/>
      <c r="IU2" s="1021"/>
      <c r="IV2" s="1021"/>
      <c r="IW2" s="1021"/>
      <c r="IX2" s="1021"/>
      <c r="IY2" s="1021"/>
      <c r="IZ2" s="1021"/>
      <c r="JC2" s="22"/>
      <c r="JD2" s="1022"/>
      <c r="JE2" s="1022"/>
      <c r="JF2" s="1022"/>
      <c r="JG2" s="1022"/>
      <c r="JH2" s="1022"/>
      <c r="JI2" s="1022"/>
      <c r="JJ2" s="1022"/>
      <c r="JK2" s="1022"/>
      <c r="JL2" s="1022"/>
      <c r="JM2" s="1022"/>
      <c r="JO2" s="23"/>
      <c r="JQ2" s="1021"/>
      <c r="JR2" s="1021"/>
      <c r="JS2" s="1021"/>
      <c r="JT2" s="1021"/>
      <c r="JU2" s="1021"/>
      <c r="JV2" s="1021"/>
      <c r="JW2" s="1021"/>
      <c r="JX2" s="1021"/>
      <c r="JY2" s="1021"/>
      <c r="JZ2" s="1021"/>
      <c r="KA2" s="1021"/>
      <c r="KB2" s="1021"/>
      <c r="KC2" s="1021"/>
      <c r="KD2" s="1021"/>
      <c r="KE2" s="24"/>
      <c r="KF2" s="25"/>
      <c r="KG2" s="24"/>
      <c r="KH2" s="1025"/>
      <c r="KI2" s="1025"/>
      <c r="KJ2" s="1025"/>
      <c r="KK2" s="1025"/>
      <c r="KL2" s="1025"/>
      <c r="KM2" s="1025"/>
      <c r="KN2" s="1025"/>
      <c r="KO2" s="1025"/>
      <c r="KP2" s="1025"/>
      <c r="KQ2" s="1025"/>
      <c r="KR2" s="1025"/>
      <c r="KS2" s="1025"/>
      <c r="KT2" s="1025"/>
      <c r="KU2" s="1025"/>
      <c r="KV2" s="1025"/>
      <c r="KW2" s="1025"/>
      <c r="KX2" s="1025"/>
      <c r="KY2" s="1025"/>
      <c r="KZ2" s="1025"/>
      <c r="LA2" s="1025"/>
      <c r="LB2" s="1025"/>
      <c r="LC2" s="1025"/>
      <c r="LD2" s="26"/>
      <c r="LE2" s="27"/>
      <c r="LG2" s="1021"/>
      <c r="LH2" s="1021"/>
      <c r="LI2" s="1021"/>
      <c r="LJ2" s="1021"/>
      <c r="LK2" s="1021"/>
      <c r="LL2" s="1021"/>
      <c r="LM2" s="1021"/>
      <c r="LN2" s="1021"/>
      <c r="LO2" s="1021"/>
      <c r="LP2" s="1021"/>
      <c r="LQ2" s="1021"/>
      <c r="LS2" s="28"/>
      <c r="LT2" s="15"/>
      <c r="LU2" s="1021"/>
      <c r="LV2" s="1021"/>
      <c r="LW2" s="1021"/>
      <c r="LX2" s="2"/>
      <c r="LY2" s="3"/>
      <c r="LZ2" s="2"/>
      <c r="MA2" s="1014"/>
      <c r="MB2" s="1014"/>
      <c r="MC2" s="1014"/>
      <c r="MD2" s="1014"/>
      <c r="ME2" s="1014"/>
      <c r="MF2" s="1014"/>
      <c r="MG2" s="1014"/>
      <c r="MI2" s="28"/>
      <c r="MJ2" s="15"/>
      <c r="MK2" s="1015"/>
      <c r="ML2" s="1015"/>
      <c r="MM2" s="1015"/>
      <c r="MN2" s="1015"/>
      <c r="MO2" s="1015"/>
      <c r="MP2" s="1015"/>
      <c r="MR2" s="28"/>
      <c r="MS2" s="15"/>
    </row>
    <row r="3" spans="1:405" ht="18" customHeight="1" x14ac:dyDescent="0.3">
      <c r="A3" s="8"/>
      <c r="B3" s="633"/>
      <c r="C3" s="633"/>
      <c r="D3" s="633"/>
      <c r="E3" s="633"/>
      <c r="F3" s="1016" t="s">
        <v>23</v>
      </c>
      <c r="G3" s="1017"/>
      <c r="H3" s="1016" t="s">
        <v>24</v>
      </c>
      <c r="I3" s="1018"/>
      <c r="J3" s="1017"/>
      <c r="K3" s="1016" t="s">
        <v>25</v>
      </c>
      <c r="L3" s="1018"/>
      <c r="M3" s="1017"/>
      <c r="N3" s="1016" t="s">
        <v>26</v>
      </c>
      <c r="O3" s="1018"/>
      <c r="P3" s="1017"/>
      <c r="Q3" s="1016" t="s">
        <v>27</v>
      </c>
      <c r="R3" s="1018"/>
      <c r="S3" s="30"/>
      <c r="T3" s="31"/>
      <c r="U3" s="32"/>
      <c r="V3" s="634"/>
      <c r="W3" s="634"/>
      <c r="X3" s="634"/>
      <c r="Y3" s="634"/>
      <c r="Z3" s="634"/>
      <c r="AA3" s="634"/>
      <c r="AF3" s="634"/>
      <c r="AG3" s="634"/>
      <c r="AH3" s="634"/>
      <c r="AI3" s="634"/>
      <c r="AJ3" s="634"/>
      <c r="AK3" s="34"/>
      <c r="AN3" s="635"/>
      <c r="AO3" s="636"/>
      <c r="AP3" s="637"/>
      <c r="AQ3" s="636"/>
      <c r="AR3" s="638"/>
      <c r="AS3" s="1023" t="s">
        <v>28</v>
      </c>
      <c r="AT3" s="1024"/>
      <c r="AU3" s="636"/>
      <c r="AV3" s="1023" t="s">
        <v>29</v>
      </c>
      <c r="AW3" s="1024"/>
      <c r="AX3" s="1024"/>
      <c r="AY3" s="636"/>
      <c r="AZ3" s="1023" t="s">
        <v>30</v>
      </c>
      <c r="BA3" s="1024"/>
      <c r="BB3" s="1024"/>
      <c r="BC3" s="636"/>
      <c r="BD3" s="1023" t="s">
        <v>31</v>
      </c>
      <c r="BE3" s="1024"/>
      <c r="BF3" s="1024"/>
      <c r="BG3" s="636"/>
      <c r="BH3" s="1023" t="s">
        <v>32</v>
      </c>
      <c r="BI3" s="1024"/>
      <c r="BJ3" s="1024"/>
      <c r="BK3" s="636"/>
      <c r="BL3" s="1023" t="s">
        <v>33</v>
      </c>
      <c r="BM3" s="1024"/>
      <c r="BN3" s="1024"/>
      <c r="BO3" s="636"/>
      <c r="BP3" s="1023" t="s">
        <v>34</v>
      </c>
      <c r="BQ3" s="1024"/>
      <c r="BR3" s="1024"/>
      <c r="BS3" s="636"/>
      <c r="BT3" s="1023" t="s">
        <v>35</v>
      </c>
      <c r="BU3" s="1024"/>
      <c r="BV3" s="1024"/>
      <c r="BW3" s="1024" t="s">
        <v>36</v>
      </c>
      <c r="BX3" s="1024"/>
      <c r="BY3" s="1024"/>
      <c r="BZ3" s="1023" t="s">
        <v>37</v>
      </c>
      <c r="CA3" s="1024"/>
      <c r="CB3" s="1031"/>
      <c r="CC3" s="1023" t="s">
        <v>38</v>
      </c>
      <c r="CD3" s="1024"/>
      <c r="CE3" s="1031"/>
      <c r="CF3" s="1023" t="s">
        <v>23</v>
      </c>
      <c r="CG3" s="1024"/>
      <c r="CH3" s="1031"/>
      <c r="CI3" s="1026" t="s">
        <v>39</v>
      </c>
      <c r="CJ3" s="1027"/>
      <c r="CN3" s="639"/>
      <c r="CO3" s="640"/>
      <c r="CP3" s="1028" t="str">
        <f>F3</f>
        <v>2023 Fiscal Year As Accepted</v>
      </c>
      <c r="CQ3" s="1029"/>
      <c r="CR3" s="1029"/>
      <c r="CS3" s="1030"/>
      <c r="CT3" s="1028" t="str">
        <f>H3</f>
        <v>2023 Fiscal Year As Adjusted</v>
      </c>
      <c r="CU3" s="1029"/>
      <c r="CV3" s="1029"/>
      <c r="CW3" s="1030"/>
      <c r="CX3" s="11"/>
      <c r="DA3" s="636"/>
      <c r="DB3" s="641"/>
      <c r="DC3" s="1028" t="str">
        <f>CP3</f>
        <v>2023 Fiscal Year As Accepted</v>
      </c>
      <c r="DD3" s="1030"/>
      <c r="DE3" s="1028" t="str">
        <f>CT3</f>
        <v>2023 Fiscal Year As Adjusted</v>
      </c>
      <c r="DF3" s="1029"/>
      <c r="DG3" s="1030"/>
      <c r="DK3" s="642"/>
      <c r="DL3" s="643"/>
      <c r="DM3" s="1028" t="str">
        <f>DC3</f>
        <v>2023 Fiscal Year As Accepted</v>
      </c>
      <c r="DN3" s="1030"/>
      <c r="DO3" s="1028" t="str">
        <f>DE3</f>
        <v>2023 Fiscal Year As Adjusted</v>
      </c>
      <c r="DP3" s="1030"/>
      <c r="DT3" s="636"/>
      <c r="DU3" s="644"/>
      <c r="DV3" s="1024" t="str">
        <f>DC3</f>
        <v>2023 Fiscal Year As Accepted</v>
      </c>
      <c r="DW3" s="1024"/>
      <c r="DX3" s="1024"/>
      <c r="DY3" s="1024"/>
      <c r="DZ3" s="1023" t="str">
        <f>DE3</f>
        <v>2023 Fiscal Year As Adjusted</v>
      </c>
      <c r="EA3" s="1024"/>
      <c r="EB3" s="1024"/>
      <c r="EC3" s="1031"/>
      <c r="EE3" s="39"/>
      <c r="EG3" s="36"/>
      <c r="EH3" s="36"/>
      <c r="EI3" s="1038" t="str">
        <f>DV3</f>
        <v>2023 Fiscal Year As Accepted</v>
      </c>
      <c r="EJ3" s="1032"/>
      <c r="EK3" s="1032"/>
      <c r="EL3" s="1033"/>
      <c r="EM3" s="1038" t="str">
        <f>DZ3</f>
        <v>2023 Fiscal Year As Adjusted</v>
      </c>
      <c r="EN3" s="1032"/>
      <c r="EO3" s="1032"/>
      <c r="EP3" s="1033"/>
      <c r="EQ3" s="11"/>
      <c r="ER3" s="40"/>
      <c r="ET3" s="36"/>
      <c r="EU3" s="37"/>
      <c r="EV3" s="1032" t="str">
        <f>EI3</f>
        <v>2023 Fiscal Year As Accepted</v>
      </c>
      <c r="EW3" s="1032"/>
      <c r="EX3" s="1032"/>
      <c r="EY3" s="1033"/>
      <c r="EZ3" s="1032" t="str">
        <f>EM3</f>
        <v>2023 Fiscal Year As Adjusted</v>
      </c>
      <c r="FA3" s="1032"/>
      <c r="FB3" s="1032"/>
      <c r="FC3" s="1033"/>
      <c r="FD3" s="1032" t="s">
        <v>40</v>
      </c>
      <c r="FE3" s="1032"/>
      <c r="FF3" s="1033"/>
      <c r="FG3" s="11"/>
      <c r="FH3" s="40"/>
      <c r="FJ3" s="36"/>
      <c r="FK3" s="36"/>
      <c r="FL3" s="36"/>
      <c r="FM3" s="1034" t="str">
        <f>EI3</f>
        <v>2023 Fiscal Year As Accepted</v>
      </c>
      <c r="FN3" s="1035"/>
      <c r="FO3" s="1035"/>
      <c r="FP3" s="1036"/>
      <c r="FQ3" s="1034" t="str">
        <f>EM3</f>
        <v>2023 Fiscal Year As Adjusted</v>
      </c>
      <c r="FR3" s="1035"/>
      <c r="FS3" s="1035"/>
      <c r="FT3" s="1035"/>
      <c r="FU3" s="1036"/>
      <c r="FV3" s="14"/>
      <c r="FW3" s="21"/>
      <c r="FY3" s="35"/>
      <c r="FZ3" s="36"/>
      <c r="GA3" s="1034" t="str">
        <f>FM3</f>
        <v>2023 Fiscal Year As Accepted</v>
      </c>
      <c r="GB3" s="1035"/>
      <c r="GC3" s="1035"/>
      <c r="GD3" s="1036"/>
      <c r="GE3" s="1037" t="str">
        <f>FQ3</f>
        <v>2023 Fiscal Year As Adjusted</v>
      </c>
      <c r="GF3" s="1035"/>
      <c r="GG3" s="1035"/>
      <c r="GH3" s="1036"/>
      <c r="GI3" s="11"/>
      <c r="GJ3" s="42"/>
      <c r="GL3" s="36"/>
      <c r="GM3" s="36"/>
      <c r="GN3" s="1043" t="str">
        <f>GA3</f>
        <v>2023 Fiscal Year As Accepted</v>
      </c>
      <c r="GO3" s="1044"/>
      <c r="GP3" s="1044"/>
      <c r="GQ3" s="1045"/>
      <c r="GR3" s="1043" t="str">
        <f>GE3</f>
        <v>2023 Fiscal Year As Adjusted</v>
      </c>
      <c r="GS3" s="1044"/>
      <c r="GT3" s="1044"/>
      <c r="GU3" s="1045"/>
      <c r="GY3" s="11"/>
      <c r="GZ3" s="43"/>
      <c r="HA3" s="44"/>
      <c r="HB3" s="44"/>
      <c r="HC3" s="44"/>
      <c r="HD3" s="44"/>
      <c r="HE3" s="44"/>
      <c r="HF3" s="45"/>
      <c r="HG3" s="44"/>
      <c r="HH3" s="44"/>
      <c r="HI3" s="44"/>
      <c r="HJ3" s="44"/>
      <c r="HK3" s="46"/>
      <c r="HM3" s="46"/>
      <c r="HN3" s="41"/>
      <c r="HO3" s="47"/>
      <c r="HP3" s="47"/>
      <c r="HQ3" s="1039" t="s">
        <v>41</v>
      </c>
      <c r="HR3" s="1046"/>
      <c r="HS3" s="1039" t="s">
        <v>42</v>
      </c>
      <c r="HT3" s="1046"/>
      <c r="HU3" s="1039" t="s">
        <v>43</v>
      </c>
      <c r="HV3" s="1046"/>
      <c r="HW3" s="1039" t="s">
        <v>44</v>
      </c>
      <c r="HX3" s="1046"/>
      <c r="HY3" s="1039" t="s">
        <v>45</v>
      </c>
      <c r="HZ3" s="1040"/>
      <c r="IA3" s="24"/>
      <c r="IB3" s="25"/>
      <c r="IC3" s="24"/>
      <c r="ID3" s="36"/>
      <c r="IE3" s="48"/>
      <c r="IF3" s="48"/>
      <c r="IG3" s="48"/>
      <c r="IH3" s="1041" t="s">
        <v>46</v>
      </c>
      <c r="II3" s="1042"/>
      <c r="IJ3" s="1041" t="s">
        <v>47</v>
      </c>
      <c r="IK3" s="1042"/>
      <c r="IL3" s="1041" t="s">
        <v>48</v>
      </c>
      <c r="IM3" s="1042"/>
      <c r="IN3" s="1041" t="s">
        <v>49</v>
      </c>
      <c r="IO3" s="1042"/>
      <c r="IP3" s="1041" t="s">
        <v>50</v>
      </c>
      <c r="IQ3" s="1042"/>
      <c r="IR3" s="1041" t="s">
        <v>51</v>
      </c>
      <c r="IS3" s="1042"/>
      <c r="IT3" s="1041" t="s">
        <v>52</v>
      </c>
      <c r="IU3" s="1042"/>
      <c r="IV3" s="1041" t="s">
        <v>53</v>
      </c>
      <c r="IW3" s="1042"/>
      <c r="IX3" s="1041" t="s">
        <v>54</v>
      </c>
      <c r="IY3" s="1049"/>
      <c r="IZ3" s="1049"/>
      <c r="JA3" s="46"/>
      <c r="JB3" s="49"/>
      <c r="JC3" s="22"/>
      <c r="JD3" s="50"/>
      <c r="JE3" s="51"/>
      <c r="JF3" s="51"/>
      <c r="JG3" s="51"/>
      <c r="JH3" s="51"/>
      <c r="JI3" s="51"/>
      <c r="JJ3" s="51"/>
      <c r="JK3" s="51"/>
      <c r="JL3" s="51"/>
      <c r="JM3" s="51"/>
      <c r="JN3" s="24"/>
      <c r="JO3" s="25"/>
      <c r="JP3" s="52"/>
      <c r="JQ3" s="53"/>
      <c r="JR3" s="47"/>
      <c r="JS3" s="47"/>
      <c r="JT3" s="54"/>
      <c r="JU3" s="1039" t="s">
        <v>41</v>
      </c>
      <c r="JV3" s="1046"/>
      <c r="JW3" s="1039" t="s">
        <v>42</v>
      </c>
      <c r="JX3" s="1046"/>
      <c r="JY3" s="1039" t="s">
        <v>55</v>
      </c>
      <c r="JZ3" s="1046"/>
      <c r="KA3" s="1039" t="s">
        <v>56</v>
      </c>
      <c r="KB3" s="1046"/>
      <c r="KC3" s="1039" t="s">
        <v>45</v>
      </c>
      <c r="KD3" s="1040"/>
      <c r="KE3" s="52"/>
      <c r="KF3" s="55"/>
      <c r="KG3" s="52"/>
      <c r="KH3" s="56"/>
      <c r="KI3" s="47"/>
      <c r="KJ3" s="47"/>
      <c r="KK3" s="47"/>
      <c r="KL3" s="1039" t="s">
        <v>46</v>
      </c>
      <c r="KM3" s="1046"/>
      <c r="KN3" s="1039" t="s">
        <v>57</v>
      </c>
      <c r="KO3" s="1046"/>
      <c r="KP3" s="1039" t="s">
        <v>48</v>
      </c>
      <c r="KQ3" s="1046"/>
      <c r="KR3" s="1039" t="s">
        <v>49</v>
      </c>
      <c r="KS3" s="1046"/>
      <c r="KT3" s="1039" t="s">
        <v>50</v>
      </c>
      <c r="KU3" s="1046"/>
      <c r="KV3" s="1039" t="s">
        <v>51</v>
      </c>
      <c r="KW3" s="1046"/>
      <c r="KX3" s="1039" t="s">
        <v>52</v>
      </c>
      <c r="KY3" s="1046"/>
      <c r="KZ3" s="1039" t="s">
        <v>53</v>
      </c>
      <c r="LA3" s="1046"/>
      <c r="LB3" s="1039" t="s">
        <v>58</v>
      </c>
      <c r="LC3" s="1040"/>
      <c r="LD3" s="22"/>
      <c r="LE3" s="57"/>
      <c r="LG3" s="36"/>
      <c r="LH3" s="38"/>
      <c r="LI3" s="1039" t="s">
        <v>45</v>
      </c>
      <c r="LJ3" s="1040"/>
      <c r="LK3" s="1046"/>
      <c r="LL3" s="1039" t="s">
        <v>59</v>
      </c>
      <c r="LM3" s="1040"/>
      <c r="LN3" s="1046"/>
      <c r="LO3" s="1039" t="s">
        <v>60</v>
      </c>
      <c r="LP3" s="1040"/>
      <c r="LQ3" s="1046"/>
      <c r="LS3" s="21"/>
      <c r="LT3" s="14"/>
      <c r="LU3" s="58"/>
      <c r="LV3" s="58"/>
      <c r="LW3" s="58"/>
      <c r="LX3" s="14"/>
      <c r="LY3" s="21"/>
      <c r="LZ3" s="14"/>
      <c r="MA3" s="59"/>
      <c r="MB3" s="59"/>
      <c r="MC3" s="33"/>
      <c r="MD3" s="33"/>
      <c r="ME3" s="33"/>
      <c r="MF3" s="33"/>
      <c r="MG3" s="33"/>
      <c r="MI3" s="21"/>
      <c r="MJ3" s="14"/>
      <c r="MK3" s="59"/>
      <c r="ML3" s="33"/>
      <c r="MM3" s="33"/>
      <c r="MN3" s="33"/>
      <c r="MO3" s="33"/>
      <c r="MP3" s="33"/>
      <c r="MR3" s="21"/>
      <c r="MS3" s="14"/>
    </row>
    <row r="4" spans="1:405" s="68" customFormat="1" ht="53.1" customHeight="1" x14ac:dyDescent="0.25">
      <c r="A4" s="60"/>
      <c r="B4" s="61"/>
      <c r="C4" s="62"/>
      <c r="D4" s="62"/>
      <c r="E4" s="62"/>
      <c r="F4" s="63" t="s">
        <v>61</v>
      </c>
      <c r="G4" s="64" t="s">
        <v>62</v>
      </c>
      <c r="H4" s="63" t="s">
        <v>61</v>
      </c>
      <c r="I4" s="65" t="s">
        <v>62</v>
      </c>
      <c r="J4" s="64" t="s">
        <v>63</v>
      </c>
      <c r="K4" s="63" t="s">
        <v>61</v>
      </c>
      <c r="L4" s="65" t="s">
        <v>62</v>
      </c>
      <c r="M4" s="64" t="s">
        <v>64</v>
      </c>
      <c r="N4" s="63" t="s">
        <v>61</v>
      </c>
      <c r="O4" s="65" t="s">
        <v>62</v>
      </c>
      <c r="P4" s="64" t="s">
        <v>65</v>
      </c>
      <c r="Q4" s="66" t="s">
        <v>66</v>
      </c>
      <c r="R4" s="65" t="s">
        <v>67</v>
      </c>
      <c r="S4" s="46"/>
      <c r="T4" s="67"/>
      <c r="V4" s="69"/>
      <c r="W4" s="69"/>
      <c r="X4" s="70" t="s">
        <v>68</v>
      </c>
      <c r="Y4" s="70" t="s">
        <v>69</v>
      </c>
      <c r="Z4" s="70" t="s">
        <v>70</v>
      </c>
      <c r="AA4" s="70" t="s">
        <v>71</v>
      </c>
      <c r="AB4" s="71"/>
      <c r="AC4" s="60"/>
      <c r="AD4" s="72"/>
      <c r="AE4" s="60"/>
      <c r="AF4" s="62"/>
      <c r="AG4" s="62"/>
      <c r="AH4" s="61" t="str">
        <f>D14</f>
        <v>Direct Labour</v>
      </c>
      <c r="AI4" s="61" t="str">
        <f>D15</f>
        <v>Collector Labour</v>
      </c>
      <c r="AJ4" s="61" t="str">
        <f>D16</f>
        <v>Overhead Labour</v>
      </c>
      <c r="AL4" s="67"/>
      <c r="AM4" s="60"/>
      <c r="AN4" s="70"/>
      <c r="AO4" s="73"/>
      <c r="AP4" s="73"/>
      <c r="AQ4" s="73"/>
      <c r="AR4" s="73"/>
      <c r="AS4" s="74" t="s">
        <v>61</v>
      </c>
      <c r="AT4" s="75" t="s">
        <v>72</v>
      </c>
      <c r="AU4" s="70"/>
      <c r="AV4" s="74" t="s">
        <v>61</v>
      </c>
      <c r="AW4" s="75" t="s">
        <v>72</v>
      </c>
      <c r="AX4" s="75" t="s">
        <v>73</v>
      </c>
      <c r="AY4" s="70"/>
      <c r="AZ4" s="74" t="s">
        <v>61</v>
      </c>
      <c r="BA4" s="75" t="s">
        <v>72</v>
      </c>
      <c r="BB4" s="75" t="s">
        <v>73</v>
      </c>
      <c r="BC4" s="70"/>
      <c r="BD4" s="74" t="s">
        <v>61</v>
      </c>
      <c r="BE4" s="75" t="s">
        <v>72</v>
      </c>
      <c r="BF4" s="75" t="s">
        <v>73</v>
      </c>
      <c r="BG4" s="70"/>
      <c r="BH4" s="74" t="s">
        <v>61</v>
      </c>
      <c r="BI4" s="75" t="s">
        <v>72</v>
      </c>
      <c r="BJ4" s="75" t="s">
        <v>73</v>
      </c>
      <c r="BK4" s="70"/>
      <c r="BL4" s="74" t="s">
        <v>61</v>
      </c>
      <c r="BM4" s="75" t="s">
        <v>72</v>
      </c>
      <c r="BN4" s="75" t="s">
        <v>73</v>
      </c>
      <c r="BO4" s="70"/>
      <c r="BP4" s="74" t="s">
        <v>61</v>
      </c>
      <c r="BQ4" s="75" t="s">
        <v>72</v>
      </c>
      <c r="BR4" s="75" t="s">
        <v>73</v>
      </c>
      <c r="BS4" s="70"/>
      <c r="BT4" s="74" t="s">
        <v>61</v>
      </c>
      <c r="BU4" s="75" t="s">
        <v>72</v>
      </c>
      <c r="BV4" s="75" t="s">
        <v>74</v>
      </c>
      <c r="BW4" s="74" t="s">
        <v>61</v>
      </c>
      <c r="BX4" s="75" t="s">
        <v>72</v>
      </c>
      <c r="BY4" s="75" t="s">
        <v>74</v>
      </c>
      <c r="BZ4" s="74" t="s">
        <v>61</v>
      </c>
      <c r="CA4" s="75" t="s">
        <v>72</v>
      </c>
      <c r="CB4" s="75" t="s">
        <v>74</v>
      </c>
      <c r="CC4" s="74" t="s">
        <v>61</v>
      </c>
      <c r="CD4" s="75" t="s">
        <v>72</v>
      </c>
      <c r="CE4" s="75" t="s">
        <v>74</v>
      </c>
      <c r="CF4" s="74" t="s">
        <v>61</v>
      </c>
      <c r="CG4" s="75" t="s">
        <v>72</v>
      </c>
      <c r="CH4" s="75" t="s">
        <v>74</v>
      </c>
      <c r="CI4" s="76" t="s">
        <v>75</v>
      </c>
      <c r="CJ4" s="75" t="s">
        <v>76</v>
      </c>
      <c r="CK4" s="60"/>
      <c r="CL4" s="72"/>
      <c r="CM4" s="60"/>
      <c r="CN4" s="77"/>
      <c r="CO4" s="78"/>
      <c r="CP4" s="79" t="s">
        <v>77</v>
      </c>
      <c r="CQ4" s="80" t="s">
        <v>78</v>
      </c>
      <c r="CR4" s="61" t="s">
        <v>79</v>
      </c>
      <c r="CS4" s="81" t="s">
        <v>71</v>
      </c>
      <c r="CT4" s="79" t="s">
        <v>77</v>
      </c>
      <c r="CU4" s="80" t="s">
        <v>78</v>
      </c>
      <c r="CV4" s="61" t="s">
        <v>79</v>
      </c>
      <c r="CW4" s="81" t="s">
        <v>71</v>
      </c>
      <c r="CX4" s="82"/>
      <c r="CY4" s="72"/>
      <c r="CZ4" s="60"/>
      <c r="DA4" s="61"/>
      <c r="DB4" s="80" t="s">
        <v>80</v>
      </c>
      <c r="DC4" s="79" t="s">
        <v>81</v>
      </c>
      <c r="DD4" s="83" t="s">
        <v>82</v>
      </c>
      <c r="DE4" s="79" t="s">
        <v>81</v>
      </c>
      <c r="DF4" s="84" t="s">
        <v>82</v>
      </c>
      <c r="DG4" s="85" t="s">
        <v>83</v>
      </c>
      <c r="DH4" s="60"/>
      <c r="DI4" s="72"/>
      <c r="DJ4" s="60"/>
      <c r="DK4" s="61"/>
      <c r="DL4" s="86" t="s">
        <v>80</v>
      </c>
      <c r="DM4" s="79" t="s">
        <v>81</v>
      </c>
      <c r="DN4" s="83" t="s">
        <v>82</v>
      </c>
      <c r="DO4" s="79" t="s">
        <v>81</v>
      </c>
      <c r="DP4" s="83" t="s">
        <v>82</v>
      </c>
      <c r="DQ4" s="60"/>
      <c r="DR4" s="72"/>
      <c r="DS4" s="60"/>
      <c r="DT4" s="61"/>
      <c r="DU4" s="87"/>
      <c r="DV4" s="61" t="s">
        <v>68</v>
      </c>
      <c r="DW4" s="61" t="s">
        <v>69</v>
      </c>
      <c r="DX4" s="61" t="s">
        <v>70</v>
      </c>
      <c r="DY4" s="88" t="s">
        <v>71</v>
      </c>
      <c r="DZ4" s="79" t="s">
        <v>68</v>
      </c>
      <c r="EA4" s="61" t="s">
        <v>69</v>
      </c>
      <c r="EB4" s="61" t="s">
        <v>70</v>
      </c>
      <c r="EC4" s="89" t="s">
        <v>71</v>
      </c>
      <c r="ED4" s="90"/>
      <c r="EE4" s="72"/>
      <c r="EF4" s="60"/>
      <c r="EG4" s="62"/>
      <c r="EH4" s="62"/>
      <c r="EI4" s="91" t="s">
        <v>68</v>
      </c>
      <c r="EJ4" s="92" t="s">
        <v>69</v>
      </c>
      <c r="EK4" s="92" t="s">
        <v>70</v>
      </c>
      <c r="EL4" s="93" t="s">
        <v>71</v>
      </c>
      <c r="EM4" s="91" t="s">
        <v>68</v>
      </c>
      <c r="EN4" s="92" t="s">
        <v>69</v>
      </c>
      <c r="EO4" s="92" t="s">
        <v>70</v>
      </c>
      <c r="EP4" s="93" t="s">
        <v>71</v>
      </c>
      <c r="EQ4" s="94"/>
      <c r="ER4" s="95"/>
      <c r="ES4" s="60"/>
      <c r="ET4" s="62"/>
      <c r="EU4" s="96"/>
      <c r="EV4" s="92" t="s">
        <v>68</v>
      </c>
      <c r="EW4" s="92" t="s">
        <v>69</v>
      </c>
      <c r="EX4" s="92" t="s">
        <v>70</v>
      </c>
      <c r="EY4" s="93" t="s">
        <v>71</v>
      </c>
      <c r="EZ4" s="92" t="s">
        <v>68</v>
      </c>
      <c r="FA4" s="92" t="s">
        <v>69</v>
      </c>
      <c r="FB4" s="92" t="s">
        <v>70</v>
      </c>
      <c r="FC4" s="93" t="s">
        <v>71</v>
      </c>
      <c r="FD4" s="97" t="s">
        <v>84</v>
      </c>
      <c r="FE4" s="97" t="s">
        <v>85</v>
      </c>
      <c r="FF4" s="98" t="s">
        <v>86</v>
      </c>
      <c r="FG4" s="94"/>
      <c r="FH4" s="95"/>
      <c r="FI4" s="60"/>
      <c r="FJ4" s="73"/>
      <c r="FK4" s="73"/>
      <c r="FL4" s="99"/>
      <c r="FM4" s="79" t="s">
        <v>68</v>
      </c>
      <c r="FN4" s="61" t="s">
        <v>69</v>
      </c>
      <c r="FO4" s="61" t="s">
        <v>70</v>
      </c>
      <c r="FP4" s="100" t="s">
        <v>71</v>
      </c>
      <c r="FQ4" s="79" t="str">
        <f>FM4</f>
        <v>Small</v>
      </c>
      <c r="FR4" s="61" t="s">
        <v>69</v>
      </c>
      <c r="FS4" s="61" t="str">
        <f>FO4</f>
        <v>Large</v>
      </c>
      <c r="FT4" s="61" t="s">
        <v>71</v>
      </c>
      <c r="FU4" s="81" t="s">
        <v>87</v>
      </c>
      <c r="FV4" s="101"/>
      <c r="FW4" s="102"/>
      <c r="FX4" s="60"/>
      <c r="FY4" s="70"/>
      <c r="FZ4" s="103"/>
      <c r="GA4" s="61" t="s">
        <v>68</v>
      </c>
      <c r="GB4" s="61" t="s">
        <v>69</v>
      </c>
      <c r="GC4" s="61" t="s">
        <v>70</v>
      </c>
      <c r="GD4" s="100" t="s">
        <v>88</v>
      </c>
      <c r="GE4" s="79" t="s">
        <v>68</v>
      </c>
      <c r="GF4" s="61" t="s">
        <v>69</v>
      </c>
      <c r="GG4" s="61" t="s">
        <v>70</v>
      </c>
      <c r="GH4" s="100" t="s">
        <v>88</v>
      </c>
      <c r="GI4" s="104"/>
      <c r="GJ4" s="105"/>
      <c r="GK4" s="60"/>
      <c r="GL4" s="70"/>
      <c r="GM4" s="99"/>
      <c r="GN4" s="79" t="s">
        <v>68</v>
      </c>
      <c r="GO4" s="61" t="s">
        <v>69</v>
      </c>
      <c r="GP4" s="61" t="s">
        <v>70</v>
      </c>
      <c r="GQ4" s="100" t="s">
        <v>71</v>
      </c>
      <c r="GR4" s="79" t="s">
        <v>68</v>
      </c>
      <c r="GS4" s="61" t="s">
        <v>69</v>
      </c>
      <c r="GT4" s="61" t="s">
        <v>70</v>
      </c>
      <c r="GU4" s="100" t="s">
        <v>71</v>
      </c>
      <c r="GV4" s="60"/>
      <c r="GW4" s="72"/>
      <c r="GX4" s="60"/>
      <c r="GY4" s="60"/>
      <c r="GZ4" s="106"/>
      <c r="HA4" s="75" t="s">
        <v>89</v>
      </c>
      <c r="HB4" s="75" t="s">
        <v>90</v>
      </c>
      <c r="HC4" s="75" t="s">
        <v>91</v>
      </c>
      <c r="HD4" s="107" t="s">
        <v>92</v>
      </c>
      <c r="HE4" s="108" t="s">
        <v>93</v>
      </c>
      <c r="HF4" s="108" t="s">
        <v>94</v>
      </c>
      <c r="HG4" s="108" t="s">
        <v>95</v>
      </c>
      <c r="HH4" s="108" t="s">
        <v>96</v>
      </c>
      <c r="HI4" s="108" t="s">
        <v>97</v>
      </c>
      <c r="HJ4" s="108" t="s">
        <v>98</v>
      </c>
      <c r="HK4" s="52"/>
      <c r="HL4" s="102"/>
      <c r="HM4" s="52"/>
      <c r="HN4" s="75"/>
      <c r="HO4" s="109" t="s">
        <v>89</v>
      </c>
      <c r="HP4" s="110" t="str">
        <f>HG4</f>
        <v>Volume Ratio</v>
      </c>
      <c r="HQ4" s="111" t="s">
        <v>99</v>
      </c>
      <c r="HR4" s="85" t="s">
        <v>100</v>
      </c>
      <c r="HS4" s="111" t="str">
        <f>IT4</f>
        <v>Study System</v>
      </c>
      <c r="HT4" s="85" t="s">
        <v>101</v>
      </c>
      <c r="HU4" s="111" t="str">
        <f>HS4</f>
        <v>Study System</v>
      </c>
      <c r="HV4" s="85" t="s">
        <v>101</v>
      </c>
      <c r="HW4" s="111" t="str">
        <f>HU4</f>
        <v>Study System</v>
      </c>
      <c r="HX4" s="85" t="s">
        <v>101</v>
      </c>
      <c r="HY4" s="111" t="s">
        <v>102</v>
      </c>
      <c r="HZ4" s="112" t="s">
        <v>103</v>
      </c>
      <c r="IA4" s="113"/>
      <c r="IB4" s="114"/>
      <c r="IC4" s="113"/>
      <c r="ID4" s="87"/>
      <c r="IE4" s="115" t="s">
        <v>89</v>
      </c>
      <c r="IF4" s="116" t="s">
        <v>94</v>
      </c>
      <c r="IG4" s="116" t="s">
        <v>95</v>
      </c>
      <c r="IH4" s="87" t="str">
        <f>HQ4</f>
        <v>Study System</v>
      </c>
      <c r="II4" s="117" t="s">
        <v>104</v>
      </c>
      <c r="IJ4" s="118" t="str">
        <f>IH4</f>
        <v>Study System</v>
      </c>
      <c r="IK4" s="117" t="s">
        <v>105</v>
      </c>
      <c r="IL4" s="118" t="str">
        <f>IH4</f>
        <v>Study System</v>
      </c>
      <c r="IM4" s="117" t="s">
        <v>106</v>
      </c>
      <c r="IN4" s="118" t="str">
        <f>IL4</f>
        <v>Study System</v>
      </c>
      <c r="IO4" s="117" t="s">
        <v>107</v>
      </c>
      <c r="IP4" s="118" t="str">
        <f>IN4</f>
        <v>Study System</v>
      </c>
      <c r="IQ4" s="117" t="s">
        <v>108</v>
      </c>
      <c r="IR4" s="118" t="str">
        <f>IP4</f>
        <v>Study System</v>
      </c>
      <c r="IS4" s="117" t="s">
        <v>109</v>
      </c>
      <c r="IT4" s="118" t="str">
        <f>IN4</f>
        <v>Study System</v>
      </c>
      <c r="IU4" s="117" t="s">
        <v>110</v>
      </c>
      <c r="IV4" s="118" t="str">
        <f>IT4</f>
        <v>Study System</v>
      </c>
      <c r="IW4" s="117" t="s">
        <v>111</v>
      </c>
      <c r="IX4" s="118" t="s">
        <v>112</v>
      </c>
      <c r="IY4" s="119" t="s">
        <v>113</v>
      </c>
      <c r="IZ4" s="119" t="s">
        <v>114</v>
      </c>
      <c r="JA4" s="113"/>
      <c r="JB4" s="114"/>
      <c r="JC4" s="120"/>
      <c r="JD4" s="121"/>
      <c r="JE4" s="65" t="s">
        <v>89</v>
      </c>
      <c r="JF4" s="122" t="s">
        <v>115</v>
      </c>
      <c r="JG4" s="122" t="s">
        <v>116</v>
      </c>
      <c r="JH4" s="122" t="s">
        <v>117</v>
      </c>
      <c r="JI4" s="122" t="s">
        <v>118</v>
      </c>
      <c r="JJ4" s="122" t="s">
        <v>94</v>
      </c>
      <c r="JK4" s="122" t="s">
        <v>95</v>
      </c>
      <c r="JL4" s="65" t="s">
        <v>119</v>
      </c>
      <c r="JM4" s="122" t="s">
        <v>120</v>
      </c>
      <c r="JN4" s="52"/>
      <c r="JO4" s="55"/>
      <c r="JP4" s="123"/>
      <c r="JQ4" s="75"/>
      <c r="JR4" s="76" t="s">
        <v>89</v>
      </c>
      <c r="JS4" s="110" t="str">
        <f>JM4</f>
        <v>FY Quarter</v>
      </c>
      <c r="JT4" s="110" t="str">
        <f>JL4</f>
        <v>Total System Ratio</v>
      </c>
      <c r="JU4" s="111" t="s">
        <v>25</v>
      </c>
      <c r="JV4" s="85" t="s">
        <v>121</v>
      </c>
      <c r="JW4" s="111" t="s">
        <v>25</v>
      </c>
      <c r="JX4" s="85" t="str">
        <f>KY4</f>
        <v>Target Year</v>
      </c>
      <c r="JY4" s="111" t="str">
        <f>JW4</f>
        <v>Total System</v>
      </c>
      <c r="JZ4" s="85" t="str">
        <f>JX4</f>
        <v>Target Year</v>
      </c>
      <c r="KA4" s="112" t="s">
        <v>25</v>
      </c>
      <c r="KB4" s="112" t="s">
        <v>121</v>
      </c>
      <c r="KC4" s="111" t="s">
        <v>122</v>
      </c>
      <c r="KD4" s="112" t="s">
        <v>123</v>
      </c>
      <c r="KE4" s="123"/>
      <c r="KF4" s="124"/>
      <c r="KG4" s="123"/>
      <c r="KH4" s="87"/>
      <c r="KI4" s="109" t="s">
        <v>124</v>
      </c>
      <c r="KJ4" s="125" t="s">
        <v>94</v>
      </c>
      <c r="KK4" s="110" t="s">
        <v>95</v>
      </c>
      <c r="KL4" s="111" t="s">
        <v>125</v>
      </c>
      <c r="KM4" s="85" t="s">
        <v>121</v>
      </c>
      <c r="KN4" s="111" t="s">
        <v>125</v>
      </c>
      <c r="KO4" s="85" t="str">
        <f>KM4</f>
        <v>Target Year</v>
      </c>
      <c r="KP4" s="111" t="s">
        <v>125</v>
      </c>
      <c r="KQ4" s="85" t="str">
        <f>KO4</f>
        <v>Target Year</v>
      </c>
      <c r="KR4" s="111" t="s">
        <v>125</v>
      </c>
      <c r="KS4" s="85" t="str">
        <f>KQ4</f>
        <v>Target Year</v>
      </c>
      <c r="KT4" s="111" t="s">
        <v>125</v>
      </c>
      <c r="KU4" s="85" t="str">
        <f>KQ4</f>
        <v>Target Year</v>
      </c>
      <c r="KV4" s="111" t="s">
        <v>125</v>
      </c>
      <c r="KW4" s="85" t="str">
        <f>KS4</f>
        <v>Target Year</v>
      </c>
      <c r="KX4" s="111" t="s">
        <v>125</v>
      </c>
      <c r="KY4" s="85" t="str">
        <f>KS4</f>
        <v>Target Year</v>
      </c>
      <c r="KZ4" s="111" t="s">
        <v>125</v>
      </c>
      <c r="LA4" s="85" t="str">
        <f>KY4</f>
        <v>Target Year</v>
      </c>
      <c r="LB4" s="111" t="s">
        <v>25</v>
      </c>
      <c r="LC4" s="112" t="s">
        <v>423</v>
      </c>
      <c r="LD4" s="126"/>
      <c r="LE4" s="127"/>
      <c r="LG4" s="87"/>
      <c r="LH4" s="80" t="s">
        <v>89</v>
      </c>
      <c r="LI4" s="111" t="s">
        <v>99</v>
      </c>
      <c r="LJ4" s="80" t="s">
        <v>25</v>
      </c>
      <c r="LK4" s="85" t="s">
        <v>121</v>
      </c>
      <c r="LL4" s="111" t="s">
        <v>99</v>
      </c>
      <c r="LM4" s="80" t="s">
        <v>25</v>
      </c>
      <c r="LN4" s="85" t="s">
        <v>121</v>
      </c>
      <c r="LO4" s="111" t="s">
        <v>99</v>
      </c>
      <c r="LP4" s="80" t="s">
        <v>25</v>
      </c>
      <c r="LQ4" s="85" t="s">
        <v>121</v>
      </c>
      <c r="LR4" s="60"/>
      <c r="LS4" s="72"/>
      <c r="LT4" s="60"/>
      <c r="LU4" s="80"/>
      <c r="LV4" s="80" t="s">
        <v>126</v>
      </c>
      <c r="LW4" s="80" t="s">
        <v>127</v>
      </c>
      <c r="LX4" s="60"/>
      <c r="LY4" s="72"/>
      <c r="LZ4" s="60"/>
      <c r="MA4" s="61"/>
      <c r="MB4" s="62"/>
      <c r="MC4" s="1047" t="s">
        <v>128</v>
      </c>
      <c r="MD4" s="1047"/>
      <c r="ME4" s="128"/>
      <c r="MF4" s="1048" t="s">
        <v>129</v>
      </c>
      <c r="MG4" s="1047"/>
      <c r="MH4" s="60"/>
      <c r="MI4" s="72"/>
      <c r="MJ4" s="60"/>
      <c r="MK4" s="61"/>
      <c r="ML4" s="129"/>
      <c r="MM4" s="128" t="s">
        <v>130</v>
      </c>
      <c r="MN4" s="129" t="s">
        <v>131</v>
      </c>
      <c r="MO4" s="128" t="s">
        <v>132</v>
      </c>
      <c r="MP4" s="128" t="s">
        <v>132</v>
      </c>
      <c r="MQ4" s="60"/>
      <c r="MR4" s="72"/>
      <c r="MS4" s="6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0"/>
      <c r="NT4" s="130"/>
      <c r="NU4" s="130"/>
      <c r="NV4" s="130"/>
      <c r="NW4" s="130"/>
      <c r="NX4" s="130"/>
      <c r="NY4" s="130"/>
      <c r="NZ4" s="130"/>
      <c r="OA4" s="130"/>
      <c r="OB4" s="130"/>
      <c r="OC4" s="130"/>
      <c r="OD4" s="130"/>
      <c r="OE4" s="130"/>
      <c r="OF4" s="130"/>
      <c r="OG4" s="130"/>
      <c r="OH4" s="130"/>
      <c r="OI4" s="130"/>
      <c r="OJ4" s="130"/>
      <c r="OK4" s="130"/>
      <c r="OL4" s="130"/>
      <c r="OM4" s="130"/>
      <c r="ON4" s="130"/>
      <c r="OO4" s="130"/>
    </row>
    <row r="5" spans="1:405" s="141" customFormat="1" ht="20.25" customHeight="1" x14ac:dyDescent="0.3">
      <c r="A5" s="131"/>
      <c r="B5" s="132" t="s">
        <v>133</v>
      </c>
      <c r="C5" s="133"/>
      <c r="D5" s="134"/>
      <c r="E5" s="135"/>
      <c r="F5" s="136" t="s">
        <v>134</v>
      </c>
      <c r="G5" s="137" t="s">
        <v>135</v>
      </c>
      <c r="H5" s="138" t="s">
        <v>136</v>
      </c>
      <c r="I5" s="132" t="s">
        <v>137</v>
      </c>
      <c r="J5" s="137" t="s">
        <v>138</v>
      </c>
      <c r="K5" s="136" t="s">
        <v>139</v>
      </c>
      <c r="L5" s="139" t="s">
        <v>140</v>
      </c>
      <c r="M5" s="137" t="s">
        <v>141</v>
      </c>
      <c r="N5" s="136" t="s">
        <v>142</v>
      </c>
      <c r="O5" s="139" t="s">
        <v>143</v>
      </c>
      <c r="P5" s="137" t="s">
        <v>144</v>
      </c>
      <c r="Q5" s="140" t="s">
        <v>145</v>
      </c>
      <c r="R5" s="132" t="s">
        <v>146</v>
      </c>
      <c r="T5" s="142"/>
      <c r="U5" s="131"/>
      <c r="V5" s="143" t="s">
        <v>133</v>
      </c>
      <c r="W5" s="144" t="s">
        <v>134</v>
      </c>
      <c r="X5" s="143" t="s">
        <v>135</v>
      </c>
      <c r="Y5" s="145" t="s">
        <v>147</v>
      </c>
      <c r="Z5" s="143" t="s">
        <v>137</v>
      </c>
      <c r="AA5" s="143" t="s">
        <v>138</v>
      </c>
      <c r="AB5" s="123"/>
      <c r="AC5" s="146"/>
      <c r="AD5" s="142"/>
      <c r="AE5" s="131"/>
      <c r="AF5" s="143" t="s">
        <v>133</v>
      </c>
      <c r="AG5" s="144" t="s">
        <v>134</v>
      </c>
      <c r="AH5" s="143" t="s">
        <v>135</v>
      </c>
      <c r="AI5" s="145" t="s">
        <v>147</v>
      </c>
      <c r="AJ5" s="143" t="s">
        <v>137</v>
      </c>
      <c r="AK5" s="131"/>
      <c r="AL5" s="147"/>
      <c r="AM5" s="131"/>
      <c r="AN5" s="143" t="s">
        <v>133</v>
      </c>
      <c r="AO5" s="6"/>
      <c r="AP5" s="148"/>
      <c r="AQ5" s="148"/>
      <c r="AR5" s="149"/>
      <c r="AS5" s="143" t="s">
        <v>134</v>
      </c>
      <c r="AT5" s="143" t="s">
        <v>135</v>
      </c>
      <c r="AU5" s="143"/>
      <c r="AV5" s="143">
        <v>0</v>
      </c>
      <c r="AW5" s="143" t="s">
        <v>135</v>
      </c>
      <c r="AX5" s="143" t="s">
        <v>147</v>
      </c>
      <c r="AY5" s="143"/>
      <c r="AZ5" s="143" t="s">
        <v>137</v>
      </c>
      <c r="BA5" s="143" t="s">
        <v>138</v>
      </c>
      <c r="BB5" s="143" t="s">
        <v>139</v>
      </c>
      <c r="BC5" s="143"/>
      <c r="BD5" s="143" t="s">
        <v>140</v>
      </c>
      <c r="BE5" s="143" t="s">
        <v>141</v>
      </c>
      <c r="BF5" s="143" t="s">
        <v>142</v>
      </c>
      <c r="BG5" s="143"/>
      <c r="BH5" s="143" t="s">
        <v>143</v>
      </c>
      <c r="BI5" s="143" t="s">
        <v>144</v>
      </c>
      <c r="BJ5" s="143" t="s">
        <v>145</v>
      </c>
      <c r="BK5" s="143"/>
      <c r="BL5" s="143" t="s">
        <v>146</v>
      </c>
      <c r="BM5" s="143" t="s">
        <v>148</v>
      </c>
      <c r="BN5" s="143" t="s">
        <v>149</v>
      </c>
      <c r="BO5" s="143"/>
      <c r="BP5" s="143" t="s">
        <v>150</v>
      </c>
      <c r="BQ5" s="143" t="s">
        <v>151</v>
      </c>
      <c r="BR5" s="143" t="s">
        <v>152</v>
      </c>
      <c r="BS5" s="143"/>
      <c r="BT5" s="143" t="s">
        <v>153</v>
      </c>
      <c r="BU5" s="143" t="s">
        <v>154</v>
      </c>
      <c r="BV5" s="143" t="s">
        <v>155</v>
      </c>
      <c r="BW5" s="144" t="s">
        <v>134</v>
      </c>
      <c r="BX5" s="143" t="s">
        <v>135</v>
      </c>
      <c r="BY5" s="143" t="s">
        <v>136</v>
      </c>
      <c r="BZ5" s="144" t="s">
        <v>134</v>
      </c>
      <c r="CA5" s="143" t="s">
        <v>135</v>
      </c>
      <c r="CB5" s="143" t="s">
        <v>136</v>
      </c>
      <c r="CC5" s="143" t="s">
        <v>134</v>
      </c>
      <c r="CD5" s="143" t="s">
        <v>135</v>
      </c>
      <c r="CE5" s="143"/>
      <c r="CF5" s="150" t="s">
        <v>137</v>
      </c>
      <c r="CG5" s="143" t="s">
        <v>138</v>
      </c>
      <c r="CH5" s="143" t="s">
        <v>139</v>
      </c>
      <c r="CI5" s="151" t="s">
        <v>140</v>
      </c>
      <c r="CJ5" s="143" t="s">
        <v>141</v>
      </c>
      <c r="CK5" s="131"/>
      <c r="CL5" s="142"/>
      <c r="CM5" s="131"/>
      <c r="CN5" s="143" t="s">
        <v>133</v>
      </c>
      <c r="CO5" s="152"/>
      <c r="CP5" s="143" t="s">
        <v>134</v>
      </c>
      <c r="CQ5" s="143" t="s">
        <v>135</v>
      </c>
      <c r="CR5" s="143" t="s">
        <v>147</v>
      </c>
      <c r="CS5" s="153" t="s">
        <v>137</v>
      </c>
      <c r="CT5" s="143" t="s">
        <v>138</v>
      </c>
      <c r="CU5" s="143" t="s">
        <v>139</v>
      </c>
      <c r="CV5" s="143" t="s">
        <v>140</v>
      </c>
      <c r="CW5" s="143" t="s">
        <v>141</v>
      </c>
      <c r="CX5" s="154"/>
      <c r="CY5" s="102"/>
      <c r="CZ5" s="131"/>
      <c r="DA5" s="143" t="s">
        <v>133</v>
      </c>
      <c r="DB5" s="155"/>
      <c r="DC5" s="143" t="s">
        <v>134</v>
      </c>
      <c r="DD5" s="156" t="s">
        <v>135</v>
      </c>
      <c r="DE5" s="143" t="s">
        <v>147</v>
      </c>
      <c r="DF5" s="157" t="s">
        <v>137</v>
      </c>
      <c r="DG5" s="157" t="s">
        <v>138</v>
      </c>
      <c r="DH5" s="131"/>
      <c r="DI5" s="102"/>
      <c r="DJ5" s="131"/>
      <c r="DK5" s="143" t="s">
        <v>133</v>
      </c>
      <c r="DL5" s="155"/>
      <c r="DM5" s="143" t="s">
        <v>134</v>
      </c>
      <c r="DN5" s="156" t="s">
        <v>135</v>
      </c>
      <c r="DO5" s="143" t="s">
        <v>147</v>
      </c>
      <c r="DP5" s="157" t="s">
        <v>137</v>
      </c>
      <c r="DQ5" s="131"/>
      <c r="DR5" s="142"/>
      <c r="DS5" s="131"/>
      <c r="DT5" s="143" t="s">
        <v>133</v>
      </c>
      <c r="DU5" s="158"/>
      <c r="DV5" s="157" t="s">
        <v>134</v>
      </c>
      <c r="DW5" s="157" t="s">
        <v>135</v>
      </c>
      <c r="DX5" s="157" t="s">
        <v>147</v>
      </c>
      <c r="DY5" s="157" t="s">
        <v>137</v>
      </c>
      <c r="DZ5" s="159" t="s">
        <v>138</v>
      </c>
      <c r="EA5" s="157" t="s">
        <v>139</v>
      </c>
      <c r="EB5" s="157" t="s">
        <v>140</v>
      </c>
      <c r="EC5" s="157" t="s">
        <v>141</v>
      </c>
      <c r="ED5" s="131"/>
      <c r="EE5" s="142"/>
      <c r="EF5" s="131"/>
      <c r="EG5" s="143" t="s">
        <v>133</v>
      </c>
      <c r="EH5" s="152"/>
      <c r="EI5" s="143" t="s">
        <v>134</v>
      </c>
      <c r="EJ5" s="143" t="s">
        <v>135</v>
      </c>
      <c r="EK5" s="143" t="s">
        <v>147</v>
      </c>
      <c r="EL5" s="153" t="s">
        <v>137</v>
      </c>
      <c r="EM5" s="143" t="s">
        <v>138</v>
      </c>
      <c r="EN5" s="143" t="s">
        <v>139</v>
      </c>
      <c r="EO5" s="143" t="s">
        <v>140</v>
      </c>
      <c r="EP5" s="143" t="s">
        <v>141</v>
      </c>
      <c r="EQ5" s="160"/>
      <c r="ER5" s="161"/>
      <c r="ES5" s="131"/>
      <c r="ET5" s="143" t="s">
        <v>133</v>
      </c>
      <c r="EU5" s="152"/>
      <c r="EV5" s="143" t="s">
        <v>134</v>
      </c>
      <c r="EW5" s="143" t="s">
        <v>135</v>
      </c>
      <c r="EX5" s="143" t="s">
        <v>147</v>
      </c>
      <c r="EY5" s="153" t="s">
        <v>137</v>
      </c>
      <c r="EZ5" s="143" t="s">
        <v>138</v>
      </c>
      <c r="FA5" s="143" t="s">
        <v>139</v>
      </c>
      <c r="FB5" s="143" t="s">
        <v>140</v>
      </c>
      <c r="FC5" s="153" t="s">
        <v>141</v>
      </c>
      <c r="FD5" s="143" t="s">
        <v>142</v>
      </c>
      <c r="FE5" s="143" t="s">
        <v>143</v>
      </c>
      <c r="FF5" s="143" t="s">
        <v>144</v>
      </c>
      <c r="FG5" s="160"/>
      <c r="FH5" s="161"/>
      <c r="FI5" s="131"/>
      <c r="FJ5" s="143" t="s">
        <v>133</v>
      </c>
      <c r="FK5" s="148"/>
      <c r="FL5" s="162"/>
      <c r="FM5" s="143" t="s">
        <v>134</v>
      </c>
      <c r="FN5" s="143" t="s">
        <v>135</v>
      </c>
      <c r="FO5" s="143" t="s">
        <v>147</v>
      </c>
      <c r="FP5" s="153" t="s">
        <v>137</v>
      </c>
      <c r="FQ5" s="143" t="s">
        <v>138</v>
      </c>
      <c r="FR5" s="143" t="s">
        <v>139</v>
      </c>
      <c r="FS5" s="143" t="s">
        <v>140</v>
      </c>
      <c r="FT5" s="143" t="s">
        <v>141</v>
      </c>
      <c r="FU5" s="143" t="s">
        <v>142</v>
      </c>
      <c r="FV5" s="160"/>
      <c r="FW5" s="102"/>
      <c r="FX5" s="131"/>
      <c r="FY5" s="143" t="s">
        <v>133</v>
      </c>
      <c r="FZ5" s="163"/>
      <c r="GA5" s="143" t="s">
        <v>134</v>
      </c>
      <c r="GB5" s="143" t="s">
        <v>135</v>
      </c>
      <c r="GC5" s="143" t="s">
        <v>147</v>
      </c>
      <c r="GD5" s="153" t="s">
        <v>137</v>
      </c>
      <c r="GE5" s="143" t="s">
        <v>138</v>
      </c>
      <c r="GF5" s="143" t="s">
        <v>139</v>
      </c>
      <c r="GG5" s="143" t="s">
        <v>140</v>
      </c>
      <c r="GH5" s="143" t="s">
        <v>141</v>
      </c>
      <c r="GI5" s="164"/>
      <c r="GJ5" s="142"/>
      <c r="GK5" s="131"/>
      <c r="GL5" s="143" t="s">
        <v>133</v>
      </c>
      <c r="GM5" s="149"/>
      <c r="GN5" s="143" t="s">
        <v>134</v>
      </c>
      <c r="GO5" s="143" t="s">
        <v>135</v>
      </c>
      <c r="GP5" s="143" t="s">
        <v>147</v>
      </c>
      <c r="GQ5" s="153" t="s">
        <v>137</v>
      </c>
      <c r="GR5" s="143" t="s">
        <v>138</v>
      </c>
      <c r="GS5" s="143" t="s">
        <v>139</v>
      </c>
      <c r="GT5" s="143" t="s">
        <v>140</v>
      </c>
      <c r="GU5" s="143" t="s">
        <v>141</v>
      </c>
      <c r="GV5" s="131"/>
      <c r="GW5" s="142"/>
      <c r="GX5" s="131"/>
      <c r="GY5" s="131"/>
      <c r="GZ5" s="165" t="s">
        <v>156</v>
      </c>
      <c r="HA5" s="143" t="s">
        <v>134</v>
      </c>
      <c r="HB5" s="143" t="s">
        <v>135</v>
      </c>
      <c r="HC5" s="143" t="s">
        <v>147</v>
      </c>
      <c r="HD5" s="143" t="s">
        <v>137</v>
      </c>
      <c r="HE5" s="143" t="s">
        <v>138</v>
      </c>
      <c r="HF5" s="143" t="s">
        <v>139</v>
      </c>
      <c r="HG5" s="143" t="s">
        <v>140</v>
      </c>
      <c r="HH5" s="143" t="s">
        <v>141</v>
      </c>
      <c r="HI5" s="143" t="s">
        <v>142</v>
      </c>
      <c r="HJ5" s="143" t="s">
        <v>143</v>
      </c>
      <c r="HK5" s="123"/>
      <c r="HL5" s="49"/>
      <c r="HM5" s="123"/>
      <c r="HN5" s="166" t="s">
        <v>133</v>
      </c>
      <c r="HO5" s="167" t="s">
        <v>134</v>
      </c>
      <c r="HP5" s="153" t="s">
        <v>135</v>
      </c>
      <c r="HQ5" s="143" t="s">
        <v>147</v>
      </c>
      <c r="HR5" s="153" t="s">
        <v>137</v>
      </c>
      <c r="HS5" s="143" t="s">
        <v>138</v>
      </c>
      <c r="HT5" s="153" t="s">
        <v>139</v>
      </c>
      <c r="HU5" s="143" t="s">
        <v>140</v>
      </c>
      <c r="HV5" s="153" t="s">
        <v>141</v>
      </c>
      <c r="HW5" s="143" t="s">
        <v>142</v>
      </c>
      <c r="HX5" s="143" t="s">
        <v>143</v>
      </c>
      <c r="HY5" s="143" t="s">
        <v>144</v>
      </c>
      <c r="HZ5" s="143" t="s">
        <v>145</v>
      </c>
      <c r="IA5" s="123"/>
      <c r="IB5" s="124"/>
      <c r="IC5" s="123"/>
      <c r="ID5" s="168" t="s">
        <v>156</v>
      </c>
      <c r="IE5" s="169" t="s">
        <v>134</v>
      </c>
      <c r="IF5" s="170" t="s">
        <v>135</v>
      </c>
      <c r="IG5" s="169" t="s">
        <v>147</v>
      </c>
      <c r="IH5" s="171" t="s">
        <v>137</v>
      </c>
      <c r="II5" s="170" t="s">
        <v>138</v>
      </c>
      <c r="IJ5" s="171" t="s">
        <v>139</v>
      </c>
      <c r="IK5" s="170" t="s">
        <v>140</v>
      </c>
      <c r="IL5" s="171" t="s">
        <v>141</v>
      </c>
      <c r="IM5" s="170" t="s">
        <v>142</v>
      </c>
      <c r="IN5" s="171" t="s">
        <v>143</v>
      </c>
      <c r="IO5" s="170" t="s">
        <v>144</v>
      </c>
      <c r="IP5" s="171" t="s">
        <v>145</v>
      </c>
      <c r="IQ5" s="170" t="s">
        <v>146</v>
      </c>
      <c r="IR5" s="171" t="s">
        <v>148</v>
      </c>
      <c r="IS5" s="170" t="s">
        <v>149</v>
      </c>
      <c r="IT5" s="171" t="s">
        <v>150</v>
      </c>
      <c r="IU5" s="170" t="s">
        <v>151</v>
      </c>
      <c r="IV5" s="172" t="s">
        <v>157</v>
      </c>
      <c r="IW5" s="170" t="s">
        <v>153</v>
      </c>
      <c r="IX5" s="171" t="s">
        <v>154</v>
      </c>
      <c r="IY5" s="171" t="s">
        <v>155</v>
      </c>
      <c r="IZ5" s="171" t="s">
        <v>158</v>
      </c>
      <c r="JA5" s="123"/>
      <c r="JB5" s="124"/>
      <c r="JC5" s="11"/>
      <c r="JD5" s="165" t="s">
        <v>133</v>
      </c>
      <c r="JE5" s="143" t="s">
        <v>134</v>
      </c>
      <c r="JF5" s="143" t="s">
        <v>135</v>
      </c>
      <c r="JG5" s="143" t="s">
        <v>159</v>
      </c>
      <c r="JH5" s="143" t="s">
        <v>137</v>
      </c>
      <c r="JI5" s="143" t="s">
        <v>160</v>
      </c>
      <c r="JJ5" s="143" t="s">
        <v>139</v>
      </c>
      <c r="JK5" s="143" t="s">
        <v>140</v>
      </c>
      <c r="JL5" s="143" t="s">
        <v>141</v>
      </c>
      <c r="JM5" s="143" t="s">
        <v>142</v>
      </c>
      <c r="JN5" s="123"/>
      <c r="JO5" s="124"/>
      <c r="JP5" s="52"/>
      <c r="JQ5" s="165" t="s">
        <v>133</v>
      </c>
      <c r="JR5" s="143" t="str">
        <f>JE5</f>
        <v>(a)</v>
      </c>
      <c r="JS5" s="143" t="s">
        <v>135</v>
      </c>
      <c r="JT5" s="143" t="s">
        <v>159</v>
      </c>
      <c r="JU5" s="143" t="s">
        <v>137</v>
      </c>
      <c r="JV5" s="143" t="s">
        <v>160</v>
      </c>
      <c r="JW5" s="143" t="s">
        <v>139</v>
      </c>
      <c r="JX5" s="143" t="s">
        <v>140</v>
      </c>
      <c r="JY5" s="143" t="s">
        <v>141</v>
      </c>
      <c r="JZ5" s="143" t="s">
        <v>142</v>
      </c>
      <c r="KA5" s="143" t="s">
        <v>143</v>
      </c>
      <c r="KB5" s="143" t="s">
        <v>144</v>
      </c>
      <c r="KC5" s="143" t="s">
        <v>145</v>
      </c>
      <c r="KD5" s="143" t="s">
        <v>146</v>
      </c>
      <c r="KE5" s="52"/>
      <c r="KF5" s="55"/>
      <c r="KG5" s="52"/>
      <c r="KH5" s="173" t="s">
        <v>133</v>
      </c>
      <c r="KI5" s="167" t="s">
        <v>134</v>
      </c>
      <c r="KJ5" s="167" t="s">
        <v>135</v>
      </c>
      <c r="KK5" s="167" t="s">
        <v>159</v>
      </c>
      <c r="KL5" s="143" t="s">
        <v>137</v>
      </c>
      <c r="KM5" s="153" t="s">
        <v>160</v>
      </c>
      <c r="KN5" s="143" t="s">
        <v>139</v>
      </c>
      <c r="KO5" s="153" t="s">
        <v>140</v>
      </c>
      <c r="KP5" s="143" t="s">
        <v>141</v>
      </c>
      <c r="KQ5" s="153" t="s">
        <v>142</v>
      </c>
      <c r="KR5" s="153" t="s">
        <v>143</v>
      </c>
      <c r="KS5" s="153" t="s">
        <v>144</v>
      </c>
      <c r="KT5" s="143" t="s">
        <v>145</v>
      </c>
      <c r="KU5" s="153" t="s">
        <v>146</v>
      </c>
      <c r="KV5" s="143" t="s">
        <v>148</v>
      </c>
      <c r="KW5" s="153" t="s">
        <v>149</v>
      </c>
      <c r="KX5" s="143" t="s">
        <v>150</v>
      </c>
      <c r="KY5" s="153" t="s">
        <v>151</v>
      </c>
      <c r="KZ5" s="143" t="s">
        <v>152</v>
      </c>
      <c r="LA5" s="153" t="s">
        <v>161</v>
      </c>
      <c r="LB5" s="143" t="s">
        <v>154</v>
      </c>
      <c r="LC5" s="143" t="s">
        <v>155</v>
      </c>
      <c r="LD5" s="11"/>
      <c r="LE5" s="105"/>
      <c r="LG5" s="165" t="s">
        <v>156</v>
      </c>
      <c r="LH5" s="153" t="s">
        <v>134</v>
      </c>
      <c r="LI5" s="143" t="s">
        <v>135</v>
      </c>
      <c r="LJ5" s="143" t="s">
        <v>159</v>
      </c>
      <c r="LK5" s="153" t="s">
        <v>137</v>
      </c>
      <c r="LL5" s="143" t="s">
        <v>160</v>
      </c>
      <c r="LM5" s="143" t="s">
        <v>139</v>
      </c>
      <c r="LN5" s="153" t="s">
        <v>140</v>
      </c>
      <c r="LO5" s="143" t="s">
        <v>141</v>
      </c>
      <c r="LP5" s="143" t="s">
        <v>142</v>
      </c>
      <c r="LQ5" s="143" t="s">
        <v>143</v>
      </c>
      <c r="LR5" s="131"/>
      <c r="LS5" s="147"/>
      <c r="LU5" s="165" t="s">
        <v>133</v>
      </c>
      <c r="LV5" s="144" t="s">
        <v>134</v>
      </c>
      <c r="LW5" s="143" t="s">
        <v>135</v>
      </c>
      <c r="LY5" s="147"/>
      <c r="MA5" s="174"/>
      <c r="MB5" s="174"/>
      <c r="MC5" s="175" t="s">
        <v>61</v>
      </c>
      <c r="MD5" s="176" t="s">
        <v>62</v>
      </c>
      <c r="ME5" s="177"/>
      <c r="MF5" s="178" t="s">
        <v>61</v>
      </c>
      <c r="MG5" s="176" t="s">
        <v>62</v>
      </c>
      <c r="MH5" s="131"/>
      <c r="MI5" s="147"/>
      <c r="MK5" s="174"/>
      <c r="ML5" s="174"/>
      <c r="MM5" s="174"/>
      <c r="MN5" s="174"/>
      <c r="MO5" s="179" t="s">
        <v>162</v>
      </c>
      <c r="MP5" s="179" t="s">
        <v>163</v>
      </c>
      <c r="MQ5" s="131"/>
      <c r="MR5" s="147"/>
      <c r="MT5" s="180"/>
      <c r="MU5" s="180"/>
      <c r="MV5" s="180"/>
      <c r="MW5" s="180"/>
      <c r="MX5" s="180"/>
      <c r="MY5" s="180"/>
      <c r="MZ5" s="180"/>
      <c r="NA5" s="180"/>
      <c r="NB5" s="180"/>
      <c r="NC5" s="180"/>
      <c r="ND5" s="180"/>
      <c r="NE5" s="180"/>
      <c r="NF5" s="180"/>
      <c r="NG5" s="180"/>
      <c r="NH5" s="180"/>
      <c r="NI5" s="180"/>
      <c r="NJ5" s="180"/>
      <c r="NK5" s="180"/>
      <c r="NL5" s="180"/>
      <c r="NM5" s="180"/>
      <c r="NN5" s="180"/>
      <c r="NO5" s="180"/>
      <c r="NP5" s="180"/>
      <c r="NQ5" s="180"/>
      <c r="NR5" s="180"/>
      <c r="NS5" s="180"/>
      <c r="NT5" s="180"/>
      <c r="NU5" s="180"/>
      <c r="NV5" s="180"/>
      <c r="NW5" s="180"/>
      <c r="NX5" s="180"/>
      <c r="NY5" s="180"/>
      <c r="NZ5" s="180"/>
      <c r="OA5" s="180"/>
      <c r="OB5" s="180"/>
      <c r="OC5" s="180"/>
      <c r="OD5" s="180"/>
      <c r="OE5" s="180"/>
      <c r="OF5" s="180"/>
      <c r="OG5" s="180"/>
      <c r="OH5" s="180"/>
      <c r="OI5" s="180"/>
      <c r="OJ5" s="180"/>
      <c r="OK5" s="180"/>
      <c r="OL5" s="180"/>
      <c r="OM5" s="180"/>
      <c r="ON5" s="180"/>
      <c r="OO5" s="180"/>
    </row>
    <row r="6" spans="1:405" s="29" customFormat="1" ht="16.5" x14ac:dyDescent="0.3">
      <c r="B6" s="181">
        <v>1</v>
      </c>
      <c r="C6" s="182" t="s">
        <v>164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4"/>
      <c r="S6" s="12"/>
      <c r="T6" s="13"/>
      <c r="U6" s="12"/>
      <c r="V6" s="185"/>
      <c r="W6" s="186" t="s">
        <v>23</v>
      </c>
      <c r="X6" s="187"/>
      <c r="Y6" s="188"/>
      <c r="Z6" s="188"/>
      <c r="AA6" s="188"/>
      <c r="AB6" s="18" t="s">
        <v>432</v>
      </c>
      <c r="AC6" s="190"/>
      <c r="AD6" s="13"/>
      <c r="AE6" s="12"/>
      <c r="AF6" s="7"/>
      <c r="AG6" s="191" t="s">
        <v>23</v>
      </c>
      <c r="AK6" s="12"/>
      <c r="AL6" s="13"/>
      <c r="AM6" s="12"/>
      <c r="AN6" s="192">
        <v>1</v>
      </c>
      <c r="AO6" s="193"/>
      <c r="AP6" s="194" t="s">
        <v>164</v>
      </c>
      <c r="AQ6" s="7"/>
      <c r="AR6" s="195"/>
      <c r="CF6" s="196"/>
      <c r="CI6" s="196"/>
      <c r="CK6" s="12"/>
      <c r="CL6" s="13"/>
      <c r="CM6" s="12"/>
      <c r="CN6" s="192">
        <v>1</v>
      </c>
      <c r="CO6" s="961" t="s">
        <v>68</v>
      </c>
      <c r="CP6" s="860">
        <v>236572.53545833335</v>
      </c>
      <c r="CQ6" s="860">
        <v>4629570.149699999</v>
      </c>
      <c r="CR6" s="860">
        <v>525646.00049999997</v>
      </c>
      <c r="CS6" s="801">
        <f>CR6+CQ6</f>
        <v>5155216.1501999991</v>
      </c>
      <c r="CT6" s="859">
        <v>237677.50364015155</v>
      </c>
      <c r="CU6" s="860">
        <v>4660468.5751545439</v>
      </c>
      <c r="CV6" s="860">
        <v>384573.36331075378</v>
      </c>
      <c r="CW6" s="860">
        <f>CV6+CU6</f>
        <v>5045041.9384652972</v>
      </c>
      <c r="CX6" s="198"/>
      <c r="CY6" s="102"/>
      <c r="CZ6" s="12"/>
      <c r="DA6" s="192">
        <v>1</v>
      </c>
      <c r="DB6" s="963" t="s">
        <v>68</v>
      </c>
      <c r="DC6" s="865">
        <v>23822.940000000002</v>
      </c>
      <c r="DD6" s="801">
        <v>516348.01379999996</v>
      </c>
      <c r="DE6" s="865">
        <v>23866.121818181819</v>
      </c>
      <c r="DF6" s="860">
        <v>517223.30925454549</v>
      </c>
      <c r="DG6" s="860">
        <v>517223.30925454543</v>
      </c>
      <c r="DH6" s="12"/>
      <c r="DI6" s="102"/>
      <c r="DJ6" s="12"/>
      <c r="DK6" s="192">
        <v>1</v>
      </c>
      <c r="DL6" s="965" t="s">
        <v>68</v>
      </c>
      <c r="DM6" s="865">
        <v>127677.99850000002</v>
      </c>
      <c r="DN6" s="801">
        <v>3249390.7820000011</v>
      </c>
      <c r="DO6" s="865">
        <v>128425.76850000002</v>
      </c>
      <c r="DP6" s="860">
        <v>3412656.4946437916</v>
      </c>
      <c r="DQ6" s="12"/>
      <c r="DR6" s="13"/>
      <c r="DS6" s="12"/>
      <c r="DT6" s="192">
        <v>1</v>
      </c>
      <c r="DU6" s="870" t="s">
        <v>165</v>
      </c>
      <c r="DV6" s="993">
        <v>247730</v>
      </c>
      <c r="DW6" s="993">
        <v>305038</v>
      </c>
      <c r="DX6" s="993">
        <v>385782</v>
      </c>
      <c r="DY6" s="993">
        <f>SUM(DV6:DX6)</f>
        <v>938550</v>
      </c>
      <c r="DZ6" s="994">
        <v>232452</v>
      </c>
      <c r="EA6" s="993">
        <v>298001</v>
      </c>
      <c r="EB6" s="993">
        <v>352006</v>
      </c>
      <c r="EC6" s="993">
        <v>882459</v>
      </c>
      <c r="ED6" s="12"/>
      <c r="EE6" s="13"/>
      <c r="EF6" s="12"/>
      <c r="EG6" s="192">
        <v>1</v>
      </c>
      <c r="EH6" s="969" t="s">
        <v>166</v>
      </c>
      <c r="EI6" s="860">
        <v>267381.79599999997</v>
      </c>
      <c r="EJ6" s="860">
        <v>305094.33900000004</v>
      </c>
      <c r="EK6" s="860">
        <v>477585.31339999998</v>
      </c>
      <c r="EL6" s="801">
        <f>SUM(EI6:EK6)</f>
        <v>1050061.4484000001</v>
      </c>
      <c r="EM6" s="860">
        <v>266107.47745394724</v>
      </c>
      <c r="EN6" s="860">
        <v>305094.33900000004</v>
      </c>
      <c r="EO6" s="860">
        <v>493023.38309582084</v>
      </c>
      <c r="EP6" s="860">
        <f>SUM(EM6:EO6)</f>
        <v>1064225.1995497681</v>
      </c>
      <c r="EQ6" s="16"/>
      <c r="ER6" s="105"/>
      <c r="ES6" s="12"/>
      <c r="ET6" s="192">
        <v>1</v>
      </c>
      <c r="EU6" s="797" t="s">
        <v>166</v>
      </c>
      <c r="EV6" s="955">
        <v>213239.39</v>
      </c>
      <c r="EW6" s="955">
        <v>162393.25900000002</v>
      </c>
      <c r="EX6" s="955">
        <v>105106.77599999998</v>
      </c>
      <c r="EY6" s="801">
        <f>SUM(EV6:EX6)</f>
        <v>480739.42500000005</v>
      </c>
      <c r="EZ6" s="955">
        <v>202334.10366827415</v>
      </c>
      <c r="FA6" s="955">
        <v>150231.90399999998</v>
      </c>
      <c r="FB6" s="955">
        <v>95627.938710191083</v>
      </c>
      <c r="FC6" s="801">
        <f>SUM(EZ6:FB6)</f>
        <v>448193.94637846516</v>
      </c>
      <c r="FD6" s="860">
        <f t="shared" ref="FD6" si="0">(FC6/$FC$9)*$FD$9</f>
        <v>327363.52898918267</v>
      </c>
      <c r="FE6" s="860">
        <f>(FC6/$FC$9)*$FE$9</f>
        <v>120830.476288431</v>
      </c>
      <c r="FF6" s="860">
        <f>SUM(FD6:FE6)</f>
        <v>448194.00527761364</v>
      </c>
      <c r="FG6" s="16"/>
      <c r="FH6" s="105"/>
      <c r="FI6" s="12"/>
      <c r="FJ6" s="192">
        <v>1</v>
      </c>
      <c r="FK6" s="194" t="s">
        <v>167</v>
      </c>
      <c r="FL6" s="199"/>
      <c r="FM6" s="200"/>
      <c r="FN6" s="200"/>
      <c r="FO6" s="200"/>
      <c r="FP6" s="201"/>
      <c r="FQ6" s="200"/>
      <c r="FR6" s="200"/>
      <c r="FS6" s="200"/>
      <c r="FT6" s="200"/>
      <c r="FU6" s="200"/>
      <c r="FV6" s="16"/>
      <c r="FW6" s="105"/>
      <c r="FX6" s="12"/>
      <c r="FY6" s="192">
        <v>1</v>
      </c>
      <c r="FZ6" s="969" t="s">
        <v>168</v>
      </c>
      <c r="GA6" s="860">
        <v>1200</v>
      </c>
      <c r="GB6" s="860">
        <v>714</v>
      </c>
      <c r="GC6" s="860">
        <v>1423.38</v>
      </c>
      <c r="GD6" s="801">
        <f t="shared" ref="GD6:GD11" si="1">SUM(GA6:GC6)</f>
        <v>3337.38</v>
      </c>
      <c r="GE6" s="860">
        <v>1200</v>
      </c>
      <c r="GF6" s="860">
        <v>714</v>
      </c>
      <c r="GG6" s="860">
        <v>1423.3799999999999</v>
      </c>
      <c r="GH6" s="860">
        <f>SUM(GE6:GG6)</f>
        <v>3337.38</v>
      </c>
      <c r="GI6" s="202"/>
      <c r="GJ6" s="203"/>
      <c r="GK6" s="12"/>
      <c r="GL6" s="192">
        <v>1</v>
      </c>
      <c r="GM6" s="973" t="s">
        <v>169</v>
      </c>
      <c r="GN6" s="883">
        <v>300657604</v>
      </c>
      <c r="GO6" s="883">
        <v>658226366</v>
      </c>
      <c r="GP6" s="883">
        <v>1121690182</v>
      </c>
      <c r="GQ6" s="884">
        <f>SUM(GN6:GP6)</f>
        <v>2080574152</v>
      </c>
      <c r="GR6" s="871">
        <v>301831871.77272731</v>
      </c>
      <c r="GS6" s="871">
        <v>658226366</v>
      </c>
      <c r="GT6" s="871">
        <v>1131472285.5</v>
      </c>
      <c r="GU6" s="871">
        <f>SUM(GR6:GT6)</f>
        <v>2091530523.2727273</v>
      </c>
      <c r="GV6" s="204"/>
      <c r="GW6" s="13"/>
      <c r="GX6" s="12"/>
      <c r="GY6" s="12"/>
      <c r="GZ6" s="192">
        <v>1</v>
      </c>
      <c r="HA6" s="886">
        <v>1</v>
      </c>
      <c r="HB6" s="886">
        <v>10</v>
      </c>
      <c r="HC6" s="886">
        <v>21</v>
      </c>
      <c r="HD6" s="887">
        <v>12516790</v>
      </c>
      <c r="HE6" s="888">
        <v>19384421</v>
      </c>
      <c r="HF6" s="800">
        <f>HC6/HB6</f>
        <v>2.1</v>
      </c>
      <c r="HG6" s="800">
        <f>HE6/HD6</f>
        <v>1.5486735017524462</v>
      </c>
      <c r="HH6" s="802">
        <v>1</v>
      </c>
      <c r="HI6" s="802">
        <v>0</v>
      </c>
      <c r="HJ6" s="802">
        <v>0</v>
      </c>
      <c r="HK6" s="12"/>
      <c r="HL6" s="55"/>
      <c r="HM6" s="12"/>
      <c r="HN6" s="205">
        <v>1</v>
      </c>
      <c r="HO6" s="890">
        <v>1</v>
      </c>
      <c r="HP6" s="799">
        <f t="shared" ref="HP6:HP26" si="2">HG6</f>
        <v>1.5486735017524462</v>
      </c>
      <c r="HQ6" s="860">
        <v>0</v>
      </c>
      <c r="HR6" s="801">
        <f>HP6*HQ6</f>
        <v>0</v>
      </c>
      <c r="HS6" s="860">
        <v>1356976</v>
      </c>
      <c r="HT6" s="975">
        <v>2097249</v>
      </c>
      <c r="HU6" s="860">
        <v>642350.24089999998</v>
      </c>
      <c r="HV6" s="975">
        <v>1039284</v>
      </c>
      <c r="HW6" s="860">
        <v>185450.87522688613</v>
      </c>
      <c r="HX6" s="955">
        <v>287202.85634067771</v>
      </c>
      <c r="HY6" s="860">
        <f>SUM(HQ6,HU6,HW6)</f>
        <v>827801.1161268861</v>
      </c>
      <c r="HZ6" s="860">
        <f>SUM(HR6,HV6,HX6)</f>
        <v>1326486.8563406777</v>
      </c>
      <c r="IA6" s="206"/>
      <c r="IB6" s="207"/>
      <c r="IC6" s="206"/>
      <c r="ID6" s="208">
        <v>1</v>
      </c>
      <c r="IE6" s="892">
        <v>1</v>
      </c>
      <c r="IF6" s="896">
        <f t="shared" ref="IF6:IG25" si="3">HF6</f>
        <v>2.1</v>
      </c>
      <c r="IG6" s="897">
        <f t="shared" si="3"/>
        <v>1.5486735017524462</v>
      </c>
      <c r="IH6" s="955">
        <v>308719.11148731643</v>
      </c>
      <c r="II6" s="801">
        <f>IH6*$IG6</f>
        <v>478105.10744496621</v>
      </c>
      <c r="IJ6" s="955">
        <v>43185.960299999999</v>
      </c>
      <c r="IK6" s="801">
        <f>IJ6*$IG6</f>
        <v>66880.952364343117</v>
      </c>
      <c r="IL6" s="955">
        <v>201334.62821268354</v>
      </c>
      <c r="IM6" s="801">
        <f>IL6*IF6</f>
        <v>422802.71924663545</v>
      </c>
      <c r="IN6" s="955">
        <v>352496.2757114711</v>
      </c>
      <c r="IO6" s="995">
        <v>774819.60972537647</v>
      </c>
      <c r="IP6" s="955">
        <v>53385.492599999976</v>
      </c>
      <c r="IQ6" s="801">
        <f>IP6*$IG6</f>
        <v>82676.69776762127</v>
      </c>
      <c r="IR6" s="955">
        <v>14212.910200000004</v>
      </c>
      <c r="IS6" s="801">
        <f>IR6*$IG6</f>
        <v>22011.157409527066</v>
      </c>
      <c r="IT6" s="955">
        <v>21252.47</v>
      </c>
      <c r="IU6" s="801">
        <f>IT6*$IG6</f>
        <v>32913.137135788813</v>
      </c>
      <c r="IV6" s="955">
        <v>112516.38350000001</v>
      </c>
      <c r="IW6" s="801">
        <f>IV6*$IG6</f>
        <v>174251.14163946616</v>
      </c>
      <c r="IX6" s="860">
        <f>IH6+IJ6+IL6+IN6+IP6+IT6+IV6+IR6</f>
        <v>1107103.2320114712</v>
      </c>
      <c r="IY6" s="860">
        <f>II6+IK6+IM6+IO6+IQ6+IU6+IW6+IS6</f>
        <v>2054460.5227337247</v>
      </c>
      <c r="IZ6" s="898">
        <f t="shared" ref="IZ6:IZ26" si="4">IY6/HE6*100</f>
        <v>10.598513738087533</v>
      </c>
      <c r="JA6" s="12"/>
      <c r="JB6" s="13"/>
      <c r="JC6" s="12"/>
      <c r="JD6" s="192">
        <v>1</v>
      </c>
      <c r="JE6" s="886">
        <v>1</v>
      </c>
      <c r="JF6" s="796">
        <f t="shared" ref="JF6:JF25" si="5">HC6</f>
        <v>21</v>
      </c>
      <c r="JG6" s="977">
        <v>20</v>
      </c>
      <c r="JH6" s="859">
        <f t="shared" ref="JH6:JH25" si="6">HE6</f>
        <v>19384421</v>
      </c>
      <c r="JI6" s="859">
        <f>JH6*$JK$26</f>
        <v>19282389.448246777</v>
      </c>
      <c r="JJ6" s="904">
        <f>JG6/JF6</f>
        <v>0.95238095238095233</v>
      </c>
      <c r="JK6" s="904">
        <f>JI6/JH6</f>
        <v>0.99473641478622332</v>
      </c>
      <c r="JL6" s="904">
        <f>LC7/LB7</f>
        <v>1.0042045691040575</v>
      </c>
      <c r="JM6" s="886" t="s">
        <v>424</v>
      </c>
      <c r="JN6" s="209"/>
      <c r="JO6" s="210"/>
      <c r="JP6" s="209"/>
      <c r="JQ6" s="192">
        <v>1</v>
      </c>
      <c r="JR6" s="886">
        <v>1</v>
      </c>
      <c r="JS6" s="910" t="str">
        <f t="shared" ref="JS6:JS25" si="7">JM6</f>
        <v>Q4</v>
      </c>
      <c r="JT6" s="911">
        <f t="shared" ref="JT6:JT26" si="8">JL6</f>
        <v>1.0042045691040575</v>
      </c>
      <c r="JU6" s="860">
        <f>HR6</f>
        <v>0</v>
      </c>
      <c r="JV6" s="860">
        <f>JU6*JL6</f>
        <v>0</v>
      </c>
      <c r="JW6" s="860">
        <f t="shared" ref="JW6:JW26" si="9">HT6</f>
        <v>2097249</v>
      </c>
      <c r="JX6" s="860">
        <f>HE6/$HE$26*$JX$26</f>
        <v>2127616.5870306143</v>
      </c>
      <c r="JY6" s="860">
        <f t="shared" ref="JY6:JY25" si="10">HV6</f>
        <v>1039284</v>
      </c>
      <c r="JZ6" s="860">
        <f t="shared" ref="JZ6:JZ25" si="11">HE6/$HE$26*$JZ$26</f>
        <v>954804.36259464279</v>
      </c>
      <c r="KA6" s="860">
        <f>HX6</f>
        <v>287202.85634067771</v>
      </c>
      <c r="KB6" s="860">
        <f>HE6/$HE$26*$KB$26</f>
        <v>41962.27567193647</v>
      </c>
      <c r="KC6" s="860">
        <f>SUM(JU6,JY6,KA6)</f>
        <v>1326486.8563406777</v>
      </c>
      <c r="KD6" s="860">
        <f>SUM(JV6,JZ6,KB6)</f>
        <v>996766.63826657925</v>
      </c>
      <c r="KE6" s="211"/>
      <c r="KF6" s="210"/>
      <c r="KG6" s="209"/>
      <c r="KH6" s="212">
        <v>1</v>
      </c>
      <c r="KI6" s="213"/>
      <c r="KJ6" s="213"/>
      <c r="KK6" s="214" t="s">
        <v>170</v>
      </c>
      <c r="KL6" s="215"/>
      <c r="KM6" s="216">
        <v>1.71293334</v>
      </c>
      <c r="KN6" s="217"/>
      <c r="KO6" s="216">
        <v>1.71293334</v>
      </c>
      <c r="KP6" s="217"/>
      <c r="KQ6" s="216">
        <v>1.71293334</v>
      </c>
      <c r="KR6" s="217"/>
      <c r="KS6" s="216">
        <v>1.71293334</v>
      </c>
      <c r="KT6" s="217"/>
      <c r="KU6" s="216">
        <v>1.71293334</v>
      </c>
      <c r="KV6" s="217"/>
      <c r="KW6" s="216">
        <v>1.71293334</v>
      </c>
      <c r="KX6" s="217"/>
      <c r="KY6" s="216">
        <v>1.71293334</v>
      </c>
      <c r="KZ6" s="217"/>
      <c r="LA6" s="216">
        <v>1.71293334</v>
      </c>
      <c r="LB6" s="215"/>
      <c r="LC6" s="218"/>
      <c r="LD6" s="219"/>
      <c r="LE6" s="220"/>
      <c r="LF6" s="12"/>
      <c r="LG6" s="192">
        <v>1</v>
      </c>
      <c r="LH6" s="921">
        <v>1</v>
      </c>
      <c r="LI6" s="860">
        <f t="shared" ref="LI6:LJ25" si="12">HY6</f>
        <v>827801.1161268861</v>
      </c>
      <c r="LJ6" s="860">
        <f t="shared" si="12"/>
        <v>1326486.8563406777</v>
      </c>
      <c r="LK6" s="801">
        <f t="shared" ref="LK6:LK25" si="13">KD6</f>
        <v>996766.63826657925</v>
      </c>
      <c r="LL6" s="860">
        <f t="shared" ref="LL6:LM25" si="14">IX6</f>
        <v>1107103.2320114712</v>
      </c>
      <c r="LM6" s="860">
        <f t="shared" si="14"/>
        <v>2054460.5227337247</v>
      </c>
      <c r="LN6" s="801">
        <f>LC7</f>
        <v>2063098.643973117</v>
      </c>
      <c r="LO6" s="860">
        <f>LI6-LL6</f>
        <v>-279302.11588458507</v>
      </c>
      <c r="LP6" s="860">
        <f>LJ6-LM6</f>
        <v>-727973.66639304697</v>
      </c>
      <c r="LQ6" s="860">
        <f>LK6-LN6</f>
        <v>-1066332.0057065377</v>
      </c>
      <c r="LR6" s="12"/>
      <c r="LS6" s="221"/>
      <c r="LT6" s="8"/>
      <c r="LU6" s="192">
        <v>1</v>
      </c>
      <c r="LV6" s="194" t="s">
        <v>171</v>
      </c>
      <c r="LW6" s="181"/>
      <c r="LX6" s="8"/>
      <c r="LY6" s="221"/>
      <c r="LZ6" s="8"/>
      <c r="MA6" s="222" t="s">
        <v>133</v>
      </c>
      <c r="MB6" s="222"/>
      <c r="MC6" s="144" t="s">
        <v>134</v>
      </c>
      <c r="MD6" s="143" t="s">
        <v>135</v>
      </c>
      <c r="ME6" s="143"/>
      <c r="MF6" s="150" t="s">
        <v>136</v>
      </c>
      <c r="MG6" s="143" t="s">
        <v>137</v>
      </c>
      <c r="MH6" s="12"/>
      <c r="MI6" s="221"/>
      <c r="MJ6" s="8"/>
      <c r="MK6" s="222" t="s">
        <v>133</v>
      </c>
      <c r="ML6" s="32"/>
      <c r="MM6" s="18"/>
      <c r="MN6" s="12"/>
      <c r="MO6" s="12"/>
      <c r="MP6" s="12"/>
      <c r="MQ6" s="12"/>
      <c r="MR6" s="221"/>
      <c r="MS6" s="8"/>
    </row>
    <row r="7" spans="1:405" ht="16.5" x14ac:dyDescent="0.3">
      <c r="B7" s="143">
        <f>B6+1</f>
        <v>2</v>
      </c>
      <c r="C7" s="790"/>
      <c r="D7" s="660" t="s">
        <v>164</v>
      </c>
      <c r="E7" s="791"/>
      <c r="F7" s="792">
        <f>GQ7-F10-F11</f>
        <v>336825698.93769997</v>
      </c>
      <c r="G7" s="793">
        <f t="shared" ref="G7:G12" si="15">F7/F$24*100</f>
        <v>16.189074473213005</v>
      </c>
      <c r="H7" s="792">
        <f>GU7-H10-H11</f>
        <v>334169414.28032368</v>
      </c>
      <c r="I7" s="724">
        <f t="shared" ref="I7:I12" si="16">H7/H$24*100</f>
        <v>15.97726691348646</v>
      </c>
      <c r="J7" s="794">
        <f>H7-F7</f>
        <v>-2656284.6573762894</v>
      </c>
      <c r="K7" s="792">
        <f>K8+K9</f>
        <v>366109146</v>
      </c>
      <c r="L7" s="724">
        <f t="shared" ref="L7:L12" si="17">K7/K$24*100</f>
        <v>16.686292465036136</v>
      </c>
      <c r="M7" s="794">
        <f>K7-H7</f>
        <v>31939731.719676316</v>
      </c>
      <c r="N7" s="792">
        <f>N8+N9</f>
        <v>348891060.10106349</v>
      </c>
      <c r="O7" s="724">
        <f t="shared" ref="O7:O12" si="18">N7/N$24*100</f>
        <v>15.985679357313895</v>
      </c>
      <c r="P7" s="794">
        <f>N7-K7</f>
        <v>-17218085.89893651</v>
      </c>
      <c r="Q7" s="792">
        <f>N7-F7</f>
        <v>12065361.163363516</v>
      </c>
      <c r="R7" s="723">
        <f>O7/G7-1</f>
        <v>-1.2563727236887701E-2</v>
      </c>
      <c r="V7" s="165">
        <f>V6+1</f>
        <v>1</v>
      </c>
      <c r="W7" s="805" t="s">
        <v>172</v>
      </c>
      <c r="X7" s="955">
        <v>86537.924694514746</v>
      </c>
      <c r="Y7" s="955">
        <v>3231727.2749500014</v>
      </c>
      <c r="Z7" s="955">
        <v>3840711.9133260008</v>
      </c>
      <c r="AA7" s="1001">
        <f>SUM(X7:Z7)</f>
        <v>7158977.112970517</v>
      </c>
      <c r="AB7" s="18"/>
      <c r="AF7" s="165">
        <v>1</v>
      </c>
      <c r="AG7" s="812" t="s">
        <v>77</v>
      </c>
      <c r="AH7" s="813">
        <f>CP9</f>
        <v>1754646.0788748774</v>
      </c>
      <c r="AI7" s="813">
        <f>DC9</f>
        <v>86327.441190476195</v>
      </c>
      <c r="AJ7" s="682">
        <f>DM9</f>
        <v>567379.8664464287</v>
      </c>
      <c r="AN7" s="222">
        <v>2</v>
      </c>
      <c r="AO7" s="18"/>
      <c r="AQ7" s="660" t="s">
        <v>164</v>
      </c>
      <c r="AR7" s="791"/>
      <c r="AS7" s="821">
        <v>120302111.8284</v>
      </c>
      <c r="AT7" s="822">
        <v>11.731293175407233</v>
      </c>
      <c r="AU7" s="783"/>
      <c r="AV7" s="821">
        <v>126126278.56186666</v>
      </c>
      <c r="AW7" s="822">
        <v>11.687249674641077</v>
      </c>
      <c r="AX7" s="823">
        <f>AW7/AT7-1</f>
        <v>-3.754360248918287E-3</v>
      </c>
      <c r="AY7" s="783"/>
      <c r="AZ7" s="821">
        <v>150728360.25</v>
      </c>
      <c r="BA7" s="822">
        <v>11.683129983994691</v>
      </c>
      <c r="BB7" s="823">
        <f>BA7/AW7-1</f>
        <v>-3.5249445002660806E-4</v>
      </c>
      <c r="BC7" s="783"/>
      <c r="BD7" s="821">
        <v>171227908</v>
      </c>
      <c r="BE7" s="822">
        <v>11.643318740549148</v>
      </c>
      <c r="BF7" s="823">
        <f>BE7/BA7-1</f>
        <v>-3.407583712590978E-3</v>
      </c>
      <c r="BG7" s="783"/>
      <c r="BH7" s="821">
        <v>176109569.11769998</v>
      </c>
      <c r="BI7" s="822">
        <v>11.588889837145976</v>
      </c>
      <c r="BJ7" s="823">
        <f>BI7/BE7-1</f>
        <v>-4.6746898041721829E-3</v>
      </c>
      <c r="BK7" s="783"/>
      <c r="BL7" s="821">
        <v>240705114.20000002</v>
      </c>
      <c r="BM7" s="822">
        <v>14.309535452395124</v>
      </c>
      <c r="BN7" s="823">
        <f>BM7/BI7-1</f>
        <v>0.23476326494438138</v>
      </c>
      <c r="BO7" s="783"/>
      <c r="BP7" s="821">
        <v>290609169.1400001</v>
      </c>
      <c r="BQ7" s="822">
        <v>15.66802926667919</v>
      </c>
      <c r="BR7" s="823">
        <f>BQ7/BM7-1</f>
        <v>9.4936262522532289E-2</v>
      </c>
      <c r="BS7" s="783"/>
      <c r="BT7" s="660">
        <v>313797305.58539999</v>
      </c>
      <c r="BU7" s="660">
        <v>15.993295780429609</v>
      </c>
      <c r="BV7" s="660">
        <f>BU7/BQ7-1</f>
        <v>2.0759886786920534E-2</v>
      </c>
      <c r="BW7" s="237">
        <v>311488574.40979999</v>
      </c>
      <c r="BX7" s="238">
        <v>16.091667659507319</v>
      </c>
      <c r="BY7" s="824">
        <f>BX7/BU7-1</f>
        <v>6.15081972022824E-3</v>
      </c>
      <c r="BZ7" s="824">
        <v>328676461.76159996</v>
      </c>
      <c r="CA7" s="824">
        <v>16.112403825565277</v>
      </c>
      <c r="CB7" s="824">
        <f>CA7/BX7-1</f>
        <v>1.2886275367305355E-3</v>
      </c>
      <c r="CC7" s="956">
        <v>326375296.65850008</v>
      </c>
      <c r="CD7" s="956">
        <v>15.703284067284784</v>
      </c>
      <c r="CE7" s="723">
        <f>CD7/CA7-1</f>
        <v>-2.5391602811701497E-2</v>
      </c>
      <c r="CF7" s="792">
        <f t="shared" ref="CF7:CG10" si="19">F7</f>
        <v>336825698.93769997</v>
      </c>
      <c r="CG7" s="824">
        <f t="shared" si="19"/>
        <v>16.189074473213005</v>
      </c>
      <c r="CH7" s="723">
        <f>CG7/CD7-1</f>
        <v>3.0935593080194224E-2</v>
      </c>
      <c r="CI7" s="825">
        <f>CF7/AS7-1</f>
        <v>1.7998319715131115</v>
      </c>
      <c r="CJ7" s="723">
        <f>(CI7+1)^(1/(2022-2004))-1</f>
        <v>5.886517470646857E-2</v>
      </c>
      <c r="CN7" s="222">
        <v>2</v>
      </c>
      <c r="CO7" s="961" t="s">
        <v>69</v>
      </c>
      <c r="CP7" s="650">
        <v>577097.11378000013</v>
      </c>
      <c r="CQ7" s="650">
        <v>10603705.998900004</v>
      </c>
      <c r="CR7" s="650">
        <v>2118043.7692</v>
      </c>
      <c r="CS7" s="794">
        <f>CR7+CQ7</f>
        <v>12721749.768100005</v>
      </c>
      <c r="CT7" s="861">
        <v>577097.11378000013</v>
      </c>
      <c r="CU7" s="650">
        <v>10603705.998900004</v>
      </c>
      <c r="CV7" s="650">
        <v>1626893.7401080688</v>
      </c>
      <c r="CW7" s="650">
        <f>CV7+CU7</f>
        <v>12230599.739008073</v>
      </c>
      <c r="CX7" s="198"/>
      <c r="CY7" s="20"/>
      <c r="DA7" s="222">
        <v>2</v>
      </c>
      <c r="DB7" s="963" t="s">
        <v>69</v>
      </c>
      <c r="DC7" s="813">
        <v>21303.197499999998</v>
      </c>
      <c r="DD7" s="866">
        <v>484236.19040000002</v>
      </c>
      <c r="DE7" s="813">
        <v>21303.197500000002</v>
      </c>
      <c r="DF7" s="650">
        <v>484236.19040000002</v>
      </c>
      <c r="DG7" s="650">
        <v>484236.19040000002</v>
      </c>
      <c r="DI7" s="20"/>
      <c r="DK7" s="222">
        <v>2</v>
      </c>
      <c r="DL7" s="965" t="s">
        <v>69</v>
      </c>
      <c r="DM7" s="813">
        <v>202091.788</v>
      </c>
      <c r="DN7" s="866">
        <v>5797870.1224999996</v>
      </c>
      <c r="DO7" s="813">
        <v>202091.788</v>
      </c>
      <c r="DP7" s="671">
        <v>6289020.1515919305</v>
      </c>
      <c r="DT7" s="222">
        <v>2</v>
      </c>
      <c r="DU7" s="872" t="s">
        <v>173</v>
      </c>
      <c r="DV7" s="650">
        <v>391984.10000000003</v>
      </c>
      <c r="DW7" s="650">
        <v>338958.95999999996</v>
      </c>
      <c r="DX7" s="650">
        <v>610555.29</v>
      </c>
      <c r="DY7" s="650">
        <v>1341498.3500000001</v>
      </c>
      <c r="DZ7" s="792"/>
      <c r="EA7" s="650"/>
      <c r="EB7" s="650"/>
      <c r="EC7" s="650"/>
      <c r="EG7" s="222">
        <v>2</v>
      </c>
      <c r="EH7" s="969" t="s">
        <v>174</v>
      </c>
      <c r="EI7" s="650">
        <v>57904.114000000001</v>
      </c>
      <c r="EJ7" s="650">
        <v>1239025.2</v>
      </c>
      <c r="EK7" s="650">
        <v>2313306.8732480002</v>
      </c>
      <c r="EL7" s="794">
        <f>SUM(EI7:EK7)</f>
        <v>3610236.1872479999</v>
      </c>
      <c r="EM7" s="650">
        <v>57904.114000000001</v>
      </c>
      <c r="EN7" s="650">
        <v>1239025.2</v>
      </c>
      <c r="EO7" s="650">
        <v>2341399.4332480002</v>
      </c>
      <c r="EP7" s="650">
        <f>SUM(EM7:EO7)</f>
        <v>3638328.7472480005</v>
      </c>
      <c r="EQ7" s="16"/>
      <c r="ER7" s="20"/>
      <c r="ET7" s="222">
        <v>2</v>
      </c>
      <c r="EU7" s="791" t="s">
        <v>174</v>
      </c>
      <c r="EV7" s="955">
        <v>42699.689999999995</v>
      </c>
      <c r="EW7" s="955">
        <v>136024</v>
      </c>
      <c r="EX7" s="955">
        <v>333397.58999999997</v>
      </c>
      <c r="EY7" s="794">
        <f>SUM(EV7:EX7)</f>
        <v>512121.27999999997</v>
      </c>
      <c r="EZ7" s="955">
        <v>38097.634750000005</v>
      </c>
      <c r="FA7" s="955">
        <v>129106.95000000001</v>
      </c>
      <c r="FB7" s="955">
        <v>314929.89600000007</v>
      </c>
      <c r="FC7" s="794">
        <f>SUM(EZ7:FB7)</f>
        <v>482134.4807500001</v>
      </c>
      <c r="FD7" s="650">
        <f>(FC7/$FC$9)*$FD$9</f>
        <v>352153.89752812323</v>
      </c>
      <c r="FE7" s="650">
        <f>(FC7/$FC$9)*$FE$9</f>
        <v>129980.64658130106</v>
      </c>
      <c r="FF7" s="650">
        <f t="shared" ref="FF7:FF9" si="20">SUM(FD7:FE7)</f>
        <v>482134.54410942429</v>
      </c>
      <c r="FG7" s="16"/>
      <c r="FH7" s="20"/>
      <c r="FJ7" s="222">
        <v>2</v>
      </c>
      <c r="FK7" s="242"/>
      <c r="FL7" s="877" t="s">
        <v>175</v>
      </c>
      <c r="FM7" s="650">
        <v>168882.95899999997</v>
      </c>
      <c r="FN7" s="650">
        <v>266037.8</v>
      </c>
      <c r="FO7" s="650">
        <v>517124.14181999996</v>
      </c>
      <c r="FP7" s="794">
        <f t="shared" ref="FP7:FP20" si="21">FM7+FO7+FN7</f>
        <v>952044.90081999986</v>
      </c>
      <c r="FQ7" s="650">
        <v>168947.75899999999</v>
      </c>
      <c r="FR7" s="650">
        <v>266037.8</v>
      </c>
      <c r="FS7" s="650">
        <v>519586.14181999996</v>
      </c>
      <c r="FT7" s="650">
        <v>954571.70081999991</v>
      </c>
      <c r="FU7" s="955">
        <v>954571.70081999991</v>
      </c>
      <c r="FV7" s="202"/>
      <c r="FW7" s="21"/>
      <c r="FY7" s="222">
        <v>2</v>
      </c>
      <c r="FZ7" s="969" t="s">
        <v>176</v>
      </c>
      <c r="GA7" s="650">
        <v>131130.37</v>
      </c>
      <c r="GB7" s="650">
        <v>81469.790000000008</v>
      </c>
      <c r="GC7" s="650">
        <v>174449.45</v>
      </c>
      <c r="GD7" s="794">
        <f t="shared" si="1"/>
        <v>387049.61</v>
      </c>
      <c r="GE7" s="650">
        <v>0</v>
      </c>
      <c r="GF7" s="650">
        <v>0</v>
      </c>
      <c r="GG7" s="650">
        <v>0</v>
      </c>
      <c r="GH7" s="650">
        <v>0</v>
      </c>
      <c r="GI7" s="202"/>
      <c r="GJ7" s="203"/>
      <c r="GL7" s="222">
        <v>2</v>
      </c>
      <c r="GM7" s="974" t="s">
        <v>164</v>
      </c>
      <c r="GN7" s="650">
        <v>49996013.61379452</v>
      </c>
      <c r="GO7" s="650">
        <v>109372423.602</v>
      </c>
      <c r="GP7" s="650">
        <v>183078905.3136</v>
      </c>
      <c r="GQ7" s="794">
        <f>SUM(GN7:GP7)</f>
        <v>342447342.52939451</v>
      </c>
      <c r="GR7" s="650">
        <v>47889922.036118187</v>
      </c>
      <c r="GS7" s="650">
        <v>107608162.42200001</v>
      </c>
      <c r="GT7" s="650">
        <v>183491099.26389998</v>
      </c>
      <c r="GU7" s="650">
        <f>SUM(GR7:GT7)</f>
        <v>338989183.72201818</v>
      </c>
      <c r="GZ7" s="222">
        <v>2</v>
      </c>
      <c r="HA7" s="663">
        <v>2</v>
      </c>
      <c r="HB7" s="663">
        <v>10</v>
      </c>
      <c r="HC7" s="663">
        <v>11</v>
      </c>
      <c r="HD7" s="682">
        <v>16081279.727272727</v>
      </c>
      <c r="HE7" s="682">
        <v>18208871</v>
      </c>
      <c r="HF7" s="724">
        <f t="shared" ref="HF7:HF26" si="22">HC7/HB7</f>
        <v>1.1000000000000001</v>
      </c>
      <c r="HG7" s="724">
        <f t="shared" ref="HG7:HG26" si="23">HE7/HD7</f>
        <v>1.1323023608077054</v>
      </c>
      <c r="HH7" s="723">
        <v>1</v>
      </c>
      <c r="HI7" s="723">
        <v>0</v>
      </c>
      <c r="HJ7" s="723">
        <v>0</v>
      </c>
      <c r="HL7" s="124"/>
      <c r="HN7" s="243">
        <v>2</v>
      </c>
      <c r="HO7" s="891">
        <v>2</v>
      </c>
      <c r="HP7" s="793">
        <f t="shared" si="2"/>
        <v>1.1323023608077054</v>
      </c>
      <c r="HQ7" s="650">
        <v>3119.62</v>
      </c>
      <c r="HR7" s="794">
        <f t="shared" ref="HR7:HR25" si="24">HP7*HQ7</f>
        <v>3532.3530908229336</v>
      </c>
      <c r="HS7" s="650">
        <v>1763065.2727272727</v>
      </c>
      <c r="HT7" s="975">
        <v>1993361</v>
      </c>
      <c r="HU7" s="650">
        <v>826501.34299999999</v>
      </c>
      <c r="HV7" s="975">
        <v>996780</v>
      </c>
      <c r="HW7" s="650">
        <v>224687.71386762871</v>
      </c>
      <c r="HX7" s="955">
        <v>247251.76703576761</v>
      </c>
      <c r="HY7" s="650">
        <f t="shared" ref="HY7:HZ25" si="25">SUM(HQ7,HU7,HW7)</f>
        <v>1054308.6768676287</v>
      </c>
      <c r="HZ7" s="650">
        <f t="shared" si="25"/>
        <v>1247564.1201265906</v>
      </c>
      <c r="IA7" s="206"/>
      <c r="IB7" s="207"/>
      <c r="IC7" s="206"/>
      <c r="ID7" s="244">
        <v>2</v>
      </c>
      <c r="IE7" s="891">
        <v>2</v>
      </c>
      <c r="IF7" s="899">
        <f t="shared" si="3"/>
        <v>1.1000000000000001</v>
      </c>
      <c r="IG7" s="900">
        <f>HG7</f>
        <v>1.1323023608077054</v>
      </c>
      <c r="IH7" s="955">
        <v>404817.96919065242</v>
      </c>
      <c r="II7" s="794">
        <f>IH7*$IG7</f>
        <v>458376.34221195668</v>
      </c>
      <c r="IJ7" s="955">
        <v>29623.045454545456</v>
      </c>
      <c r="IK7" s="794">
        <f t="shared" ref="IK7:IK25" si="26">IJ7*$IG7</f>
        <v>33542.244302495783</v>
      </c>
      <c r="IL7" s="955">
        <v>164524.33080934751</v>
      </c>
      <c r="IM7" s="794">
        <f>IL7*IF7</f>
        <v>180976.76389028228</v>
      </c>
      <c r="IN7" s="955">
        <v>325990.28390059911</v>
      </c>
      <c r="IO7" s="995">
        <v>367613.333148323</v>
      </c>
      <c r="IP7" s="955">
        <v>54401.691454545457</v>
      </c>
      <c r="IQ7" s="794">
        <f t="shared" ref="IQ7:IQ24" si="27">IP7*$IG7</f>
        <v>61599.163665914195</v>
      </c>
      <c r="IR7" s="955">
        <v>32794.422727272722</v>
      </c>
      <c r="IS7" s="794">
        <f t="shared" ref="IS7:IS25" si="28">IR7*$IG7</f>
        <v>37133.20227541677</v>
      </c>
      <c r="IT7" s="955">
        <v>47430.550909090911</v>
      </c>
      <c r="IU7" s="794">
        <f t="shared" ref="IU7:IU25" si="29">IT7*$IG7</f>
        <v>53705.724768773696</v>
      </c>
      <c r="IV7" s="955">
        <v>218873.50455000001</v>
      </c>
      <c r="IW7" s="794">
        <f t="shared" ref="IW7:IW25" si="30">IV7*$IG7</f>
        <v>247830.98592022108</v>
      </c>
      <c r="IX7" s="650">
        <f t="shared" ref="IX7:IY26" si="31">IH7+IJ7+IL7+IN7+IP7+IT7+IV7+IR7</f>
        <v>1278455.7989960536</v>
      </c>
      <c r="IY7" s="650">
        <f t="shared" si="31"/>
        <v>1440777.7601833835</v>
      </c>
      <c r="IZ7" s="683">
        <f t="shared" si="4"/>
        <v>7.9125046258133382</v>
      </c>
      <c r="JD7" s="222">
        <v>2</v>
      </c>
      <c r="JE7" s="663">
        <v>2</v>
      </c>
      <c r="JF7" s="660">
        <f t="shared" si="5"/>
        <v>11</v>
      </c>
      <c r="JG7" s="660">
        <f t="shared" ref="JG7:JG18" si="32">JF7</f>
        <v>11</v>
      </c>
      <c r="JH7" s="905">
        <f t="shared" si="6"/>
        <v>18208871</v>
      </c>
      <c r="JI7" s="905">
        <f>JH7*$JK$26</f>
        <v>18113027.055844832</v>
      </c>
      <c r="JJ7" s="906">
        <f t="shared" ref="JJ7:JJ26" si="33">JG7/JF7</f>
        <v>1</v>
      </c>
      <c r="JK7" s="906">
        <f t="shared" ref="JK7:JK26" si="34">JI7/JH7</f>
        <v>0.99473641478622332</v>
      </c>
      <c r="JL7" s="906">
        <f t="shared" ref="JL7:JL25" si="35">LC8/LB8</f>
        <v>1.0268745952220819</v>
      </c>
      <c r="JM7" s="663" t="s">
        <v>238</v>
      </c>
      <c r="JN7" s="209"/>
      <c r="JO7" s="210"/>
      <c r="JP7" s="209"/>
      <c r="JQ7" s="222">
        <v>2</v>
      </c>
      <c r="JR7" s="663">
        <v>2</v>
      </c>
      <c r="JS7" s="912" t="str">
        <f t="shared" si="7"/>
        <v>Q3</v>
      </c>
      <c r="JT7" s="913">
        <f t="shared" si="8"/>
        <v>1.0268745952220819</v>
      </c>
      <c r="JU7" s="671">
        <f t="shared" ref="JU7:JU25" si="36">HR7</f>
        <v>3532.3530908229336</v>
      </c>
      <c r="JV7" s="671">
        <f t="shared" ref="JV7:JV25" si="37">JU7*JL7</f>
        <v>3627.2836503202698</v>
      </c>
      <c r="JW7" s="671">
        <f t="shared" si="9"/>
        <v>1993361</v>
      </c>
      <c r="JX7" s="671">
        <f t="shared" ref="JX7:JX25" si="38">HE7/$HE$26*$JX$26</f>
        <v>1998589.2779929168</v>
      </c>
      <c r="JY7" s="671">
        <f t="shared" si="10"/>
        <v>996780</v>
      </c>
      <c r="JZ7" s="671">
        <f t="shared" si="11"/>
        <v>896901.14905795106</v>
      </c>
      <c r="KA7" s="671">
        <f t="shared" ref="KA7:KA25" si="39">HX7</f>
        <v>247251.76703576761</v>
      </c>
      <c r="KB7" s="671">
        <f t="shared" ref="KB7:KB25" si="40">HE7/$HE$26*$KB$26</f>
        <v>39417.512887113298</v>
      </c>
      <c r="KC7" s="671">
        <f t="shared" ref="KC7:KD25" si="41">SUM(JU7,JY7,KA7)</f>
        <v>1247564.1201265906</v>
      </c>
      <c r="KD7" s="671">
        <f t="shared" si="41"/>
        <v>939945.94559538458</v>
      </c>
      <c r="KE7" s="211"/>
      <c r="KF7" s="210"/>
      <c r="KG7" s="209"/>
      <c r="KH7" s="245">
        <f>KH6+1</f>
        <v>2</v>
      </c>
      <c r="KI7" s="917">
        <v>1</v>
      </c>
      <c r="KJ7" s="918">
        <f>JJ6</f>
        <v>0.95238095238095233</v>
      </c>
      <c r="KK7" s="918">
        <f>JK6</f>
        <v>0.99473641478622332</v>
      </c>
      <c r="KL7" s="898">
        <v>1.6546666699999999</v>
      </c>
      <c r="KM7" s="801">
        <f>II6*KM$6/KL7*KK7</f>
        <v>492335.71698946384</v>
      </c>
      <c r="KN7" s="898">
        <v>1.6546666699999999</v>
      </c>
      <c r="KO7" s="801">
        <f t="shared" ref="KO7:KO26" si="42">IK6*KO$6/KN7*KK7</f>
        <v>68871.637475714087</v>
      </c>
      <c r="KP7" s="898">
        <v>1.6546666699999999</v>
      </c>
      <c r="KQ7" s="801">
        <f t="shared" ref="KQ7:KQ26" si="43">IM6*KQ$6/KP7*KJ7</f>
        <v>416848.66615704575</v>
      </c>
      <c r="KR7" s="898">
        <v>1.6546666699999999</v>
      </c>
      <c r="KS7" s="801">
        <f>IO6*KS$6/KR7*KJ7</f>
        <v>763908.33389588259</v>
      </c>
      <c r="KT7" s="898">
        <v>1.6546666699999999</v>
      </c>
      <c r="KU7" s="801">
        <f t="shared" ref="KU7:KU26" si="44">IQ6*KU$6/KT7*KK7</f>
        <v>85137.536997402742</v>
      </c>
      <c r="KV7" s="898">
        <v>1.6546666699999999</v>
      </c>
      <c r="KW7" s="801">
        <f t="shared" ref="KW7:KW26" si="45">IS6*KW$6/KV7*KK7</f>
        <v>22666.310809563711</v>
      </c>
      <c r="KX7" s="898">
        <v>1.6546666699999999</v>
      </c>
      <c r="KY7" s="801">
        <f t="shared" ref="KY7:KY26" si="46">IU6*KY$6/KX7*$KK7</f>
        <v>33892.78365319781</v>
      </c>
      <c r="KZ7" s="898">
        <v>1.6546666699999999</v>
      </c>
      <c r="LA7" s="919">
        <f t="shared" ref="LA7:LA26" si="47">IW6*LA$6/KZ7*$KK7</f>
        <v>179437.65799484646</v>
      </c>
      <c r="LB7" s="646">
        <f t="shared" ref="LB7:LB26" si="48">IY6</f>
        <v>2054460.5227337247</v>
      </c>
      <c r="LC7" s="646">
        <f>KM7+KO7+KQ7+KS7+KU7+KY7+LA7+KW7</f>
        <v>2063098.643973117</v>
      </c>
      <c r="LD7" s="16"/>
      <c r="LE7" s="220"/>
      <c r="LG7" s="222">
        <v>2</v>
      </c>
      <c r="LH7" s="922">
        <v>2</v>
      </c>
      <c r="LI7" s="650">
        <f t="shared" si="12"/>
        <v>1054308.6768676287</v>
      </c>
      <c r="LJ7" s="650">
        <f t="shared" si="12"/>
        <v>1247564.1201265906</v>
      </c>
      <c r="LK7" s="794">
        <f t="shared" si="13"/>
        <v>939945.94559538458</v>
      </c>
      <c r="LL7" s="650">
        <f t="shared" si="14"/>
        <v>1278455.7989960536</v>
      </c>
      <c r="LM7" s="650">
        <f t="shared" si="14"/>
        <v>1440777.7601833835</v>
      </c>
      <c r="LN7" s="794">
        <f t="shared" ref="LN7:LN25" si="49">LC8</f>
        <v>1479498.0792932897</v>
      </c>
      <c r="LO7" s="792">
        <f t="shared" ref="LO7:LQ26" si="50">LI7-LL7</f>
        <v>-224147.12212842493</v>
      </c>
      <c r="LP7" s="650">
        <f t="shared" si="50"/>
        <v>-193213.64005679288</v>
      </c>
      <c r="LQ7" s="650">
        <f t="shared" si="50"/>
        <v>-539552.13369790511</v>
      </c>
      <c r="LS7" s="221"/>
      <c r="LT7" s="8"/>
      <c r="LU7" s="222">
        <f>LU6+1</f>
        <v>2</v>
      </c>
      <c r="LV7" s="812" t="s">
        <v>177</v>
      </c>
      <c r="LW7" s="650">
        <f>'Actuals Phase I Schedules'!MC21</f>
        <v>109537344.64773695</v>
      </c>
      <c r="LX7" s="8"/>
      <c r="LY7" s="221"/>
      <c r="LZ7" s="8"/>
      <c r="MA7" s="192">
        <v>1</v>
      </c>
      <c r="MB7" s="194" t="s">
        <v>164</v>
      </c>
      <c r="MC7" s="197">
        <f>N7</f>
        <v>348891060.10106349</v>
      </c>
      <c r="MD7" s="246">
        <f t="shared" ref="MD7:MD12" si="51">MC7/$MC$34*100</f>
        <v>15.985679357313895</v>
      </c>
      <c r="ME7" s="29"/>
      <c r="MF7" s="247">
        <f>MF8+MF9</f>
        <v>365232744.94289666</v>
      </c>
      <c r="MG7" s="246">
        <f t="shared" ref="MG7:MG12" si="52">MF7/$MG$34*100</f>
        <v>16.734431514976379</v>
      </c>
      <c r="MI7" s="221"/>
      <c r="MJ7" s="8"/>
      <c r="MK7" s="192">
        <v>1</v>
      </c>
      <c r="ML7" s="248" t="str">
        <f t="shared" ref="ML7:ML21" si="53">MB7</f>
        <v>Revenue</v>
      </c>
      <c r="MM7" s="979">
        <v>371540376.1521095</v>
      </c>
      <c r="MN7" s="860">
        <f>MC7</f>
        <v>348891060.10106349</v>
      </c>
      <c r="MO7" s="860">
        <f>MN7-MM7</f>
        <v>-22649316.051046014</v>
      </c>
      <c r="MP7" s="830">
        <f>MO7/MM7</f>
        <v>-6.0960577920536232E-2</v>
      </c>
      <c r="MR7" s="221"/>
      <c r="MS7" s="8"/>
    </row>
    <row r="8" spans="1:405" s="29" customFormat="1" ht="16.5" x14ac:dyDescent="0.3">
      <c r="B8" s="181">
        <f>B7+1</f>
        <v>3</v>
      </c>
      <c r="C8" s="795"/>
      <c r="D8" s="796"/>
      <c r="E8" s="797" t="s">
        <v>178</v>
      </c>
      <c r="F8" s="798">
        <f>GQ8</f>
        <v>231071802</v>
      </c>
      <c r="G8" s="799">
        <f t="shared" si="15"/>
        <v>11.106155566619766</v>
      </c>
      <c r="H8" s="798">
        <f>GU8</f>
        <v>232634365.45454544</v>
      </c>
      <c r="I8" s="800">
        <f t="shared" si="16"/>
        <v>11.122685653687245</v>
      </c>
      <c r="J8" s="801">
        <f t="shared" ref="J8:J22" si="54">H8-F8</f>
        <v>1562563.4545454383</v>
      </c>
      <c r="K8" s="798">
        <f>HT26</f>
        <v>242214042</v>
      </c>
      <c r="L8" s="800">
        <f t="shared" si="17"/>
        <v>11.039479314047364</v>
      </c>
      <c r="M8" s="801">
        <f t="shared" ref="M8:M22" si="55">K8-H8</f>
        <v>9579676.5454545617</v>
      </c>
      <c r="N8" s="798">
        <f>JX26</f>
        <v>240819284.15000001</v>
      </c>
      <c r="O8" s="800">
        <f t="shared" si="18"/>
        <v>11.033988255143685</v>
      </c>
      <c r="P8" s="801">
        <f t="shared" ref="P8:P22" si="56">N8-K8</f>
        <v>-1394757.849999994</v>
      </c>
      <c r="Q8" s="798">
        <f t="shared" ref="Q8:Q22" si="57">N8-F8</f>
        <v>9747482.150000006</v>
      </c>
      <c r="R8" s="802">
        <f t="shared" ref="R8:R22" si="58">O8/G8-1</f>
        <v>-6.4979561148039711E-3</v>
      </c>
      <c r="S8" s="12"/>
      <c r="T8" s="13"/>
      <c r="U8" s="12"/>
      <c r="V8" s="252">
        <f t="shared" ref="V8:V20" si="59">V7+1</f>
        <v>2</v>
      </c>
      <c r="W8" s="806" t="s">
        <v>179</v>
      </c>
      <c r="X8" s="807">
        <f>X7/F$24*100</f>
        <v>4.1593290299856978E-3</v>
      </c>
      <c r="Y8" s="800">
        <f>Y7/F$24*100</f>
        <v>0.15532862752540827</v>
      </c>
      <c r="Z8" s="800">
        <f>Z7/F$24*100</f>
        <v>0.18459865559869751</v>
      </c>
      <c r="AA8" s="800">
        <f>AA7/F$24*100</f>
        <v>0.34408661215409142</v>
      </c>
      <c r="AB8" s="227"/>
      <c r="AC8" s="233"/>
      <c r="AD8" s="13"/>
      <c r="AE8" s="12"/>
      <c r="AF8" s="252">
        <f>AF7+1</f>
        <v>2</v>
      </c>
      <c r="AG8" s="814" t="s">
        <v>180</v>
      </c>
      <c r="AH8" s="815">
        <f>AH7*3600/F$24</f>
        <v>3.0360493894810041</v>
      </c>
      <c r="AI8" s="815">
        <f>AI7*3600/F$24</f>
        <v>0.14937164723832172</v>
      </c>
      <c r="AJ8" s="815">
        <f>AJ7*3600/F$24</f>
        <v>0.98173262281648466</v>
      </c>
      <c r="AK8" s="12"/>
      <c r="AL8" s="13"/>
      <c r="AM8" s="12"/>
      <c r="AN8" s="192">
        <v>3</v>
      </c>
      <c r="AO8" s="254"/>
      <c r="AQ8" s="826" t="s">
        <v>178</v>
      </c>
      <c r="AR8" s="797"/>
      <c r="AS8" s="827">
        <v>79503570.349999994</v>
      </c>
      <c r="AT8" s="828">
        <v>7.7528122997362363</v>
      </c>
      <c r="AU8" s="829"/>
      <c r="AV8" s="827">
        <v>82983136.416666657</v>
      </c>
      <c r="AW8" s="828">
        <v>7.689473162491363</v>
      </c>
      <c r="AX8" s="830">
        <f>AW8/AT8-1</f>
        <v>-8.1698272570107644E-3</v>
      </c>
      <c r="AY8" s="829"/>
      <c r="AZ8" s="827">
        <v>98672863.5</v>
      </c>
      <c r="BA8" s="828">
        <v>7.6482480685877787</v>
      </c>
      <c r="BB8" s="830">
        <f>BA8/AW8-1</f>
        <v>-5.3612377639442599E-3</v>
      </c>
      <c r="BC8" s="829"/>
      <c r="BD8" s="827">
        <v>111397202</v>
      </c>
      <c r="BE8" s="828">
        <v>7.5748932801967008</v>
      </c>
      <c r="BF8" s="830">
        <f>BE8/BA8-1</f>
        <v>-9.5910576818701854E-3</v>
      </c>
      <c r="BG8" s="829"/>
      <c r="BH8" s="827">
        <v>116322907.89166664</v>
      </c>
      <c r="BI8" s="828">
        <v>7.6546287169214136</v>
      </c>
      <c r="BJ8" s="830">
        <f>BI8/BE8-1</f>
        <v>1.0526278559351843E-2</v>
      </c>
      <c r="BK8" s="829"/>
      <c r="BL8" s="827">
        <v>174683793.20000002</v>
      </c>
      <c r="BM8" s="828">
        <v>10.384673130282241</v>
      </c>
      <c r="BN8" s="830">
        <f>BM8/BI8-1</f>
        <v>0.35665275408143038</v>
      </c>
      <c r="BO8" s="829"/>
      <c r="BP8" s="827">
        <v>208646041.65000004</v>
      </c>
      <c r="BQ8" s="828">
        <v>11.249033527135891</v>
      </c>
      <c r="BR8" s="830">
        <f>BQ8/BM8-1</f>
        <v>8.3234242042065976E-2</v>
      </c>
      <c r="BS8" s="829"/>
      <c r="BT8" s="796">
        <v>219246568.60000002</v>
      </c>
      <c r="BU8" s="796">
        <v>11.174331831570692</v>
      </c>
      <c r="BV8" s="796">
        <f>BU8/BQ8-1</f>
        <v>-6.6407212126265991E-3</v>
      </c>
      <c r="BW8" s="258">
        <v>215103150.44999999</v>
      </c>
      <c r="BX8" s="259">
        <v>11.112344701929782</v>
      </c>
      <c r="BY8" s="831">
        <f t="shared" ref="BY8:BY20" si="60">BX8/BU8-1</f>
        <v>-5.5472784033295808E-3</v>
      </c>
      <c r="BZ8" s="831">
        <v>224292117.40000001</v>
      </c>
      <c r="CA8" s="831">
        <v>10.99526613822796</v>
      </c>
      <c r="CB8" s="831">
        <f t="shared" ref="CB8:CB20" si="61">CA8/BX8-1</f>
        <v>-1.0535901003996928E-2</v>
      </c>
      <c r="CC8" s="956">
        <v>228950330.75</v>
      </c>
      <c r="CD8" s="956">
        <v>11.015760438596976</v>
      </c>
      <c r="CE8" s="802">
        <f t="shared" ref="CE8:CE11" si="62">CD8/CA8-1</f>
        <v>1.8639203554848827E-3</v>
      </c>
      <c r="CF8" s="798">
        <f t="shared" si="19"/>
        <v>231071802</v>
      </c>
      <c r="CG8" s="831">
        <f t="shared" si="19"/>
        <v>11.106155566619766</v>
      </c>
      <c r="CH8" s="802">
        <f>CG8/CD8-1</f>
        <v>8.2059816502602079E-3</v>
      </c>
      <c r="CI8" s="832">
        <f t="shared" ref="CI8:CI19" si="63">CF8/AS8-1</f>
        <v>1.9064330190801302</v>
      </c>
      <c r="CJ8" s="802">
        <f>(CI8+1)^(1/(2022-2004))-1</f>
        <v>6.1065612459339613E-2</v>
      </c>
      <c r="CK8" s="12"/>
      <c r="CL8" s="13"/>
      <c r="CM8" s="12"/>
      <c r="CN8" s="263">
        <v>3</v>
      </c>
      <c r="CO8" s="962" t="s">
        <v>70</v>
      </c>
      <c r="CP8" s="863">
        <v>940976.42963654397</v>
      </c>
      <c r="CQ8" s="863">
        <v>17441604.080599997</v>
      </c>
      <c r="CR8" s="863">
        <v>2682727.8284999998</v>
      </c>
      <c r="CS8" s="864">
        <f>CR8+CQ8</f>
        <v>20124331.909099996</v>
      </c>
      <c r="CT8" s="862">
        <v>947926.42963654408</v>
      </c>
      <c r="CU8" s="863">
        <v>17578043.740599997</v>
      </c>
      <c r="CV8" s="863">
        <v>1959514.4296093306</v>
      </c>
      <c r="CW8" s="863">
        <f>CV8+CU8</f>
        <v>19537558.17020933</v>
      </c>
      <c r="CX8" s="198"/>
      <c r="CY8" s="20"/>
      <c r="CZ8" s="12"/>
      <c r="DA8" s="263">
        <v>3</v>
      </c>
      <c r="DB8" s="964" t="s">
        <v>70</v>
      </c>
      <c r="DC8" s="867">
        <v>41201.303690476198</v>
      </c>
      <c r="DD8" s="864">
        <v>804382.34765000001</v>
      </c>
      <c r="DE8" s="867">
        <v>41201.30369047619</v>
      </c>
      <c r="DF8" s="863">
        <v>804382.34764999989</v>
      </c>
      <c r="DG8" s="863">
        <v>804382.34765000001</v>
      </c>
      <c r="DH8" s="12"/>
      <c r="DI8" s="20"/>
      <c r="DJ8" s="12"/>
      <c r="DK8" s="263">
        <v>3</v>
      </c>
      <c r="DL8" s="966" t="s">
        <v>70</v>
      </c>
      <c r="DM8" s="867">
        <v>237610.0799464286</v>
      </c>
      <c r="DN8" s="864">
        <v>7476293.3502500001</v>
      </c>
      <c r="DO8" s="867">
        <v>239547.0799464286</v>
      </c>
      <c r="DP8" s="863">
        <v>8260756.9691406693</v>
      </c>
      <c r="DQ8" s="12"/>
      <c r="DR8" s="13"/>
      <c r="DS8" s="12"/>
      <c r="DT8" s="192">
        <v>3</v>
      </c>
      <c r="DU8" s="873" t="s">
        <v>181</v>
      </c>
      <c r="DV8" s="860">
        <v>2850509.1129999999</v>
      </c>
      <c r="DW8" s="860">
        <v>5975213.4032000005</v>
      </c>
      <c r="DX8" s="860">
        <v>12662919</v>
      </c>
      <c r="DY8" s="860">
        <v>21488641.516199999</v>
      </c>
      <c r="DZ8" s="798"/>
      <c r="EA8" s="860"/>
      <c r="EB8" s="860"/>
      <c r="EC8" s="860"/>
      <c r="ED8" s="18"/>
      <c r="EE8" s="264"/>
      <c r="EF8" s="18"/>
      <c r="EG8" s="263">
        <v>3</v>
      </c>
      <c r="EH8" s="970" t="s">
        <v>182</v>
      </c>
      <c r="EI8" s="860">
        <v>125804.27599999998</v>
      </c>
      <c r="EJ8" s="860">
        <v>273710.98</v>
      </c>
      <c r="EK8" s="860">
        <v>840589.31451599998</v>
      </c>
      <c r="EL8" s="801">
        <f>SUM(EI8:EK8)</f>
        <v>1240104.570516</v>
      </c>
      <c r="EM8" s="860">
        <v>125804.27599999998</v>
      </c>
      <c r="EN8" s="860">
        <v>273710.98</v>
      </c>
      <c r="EO8" s="860">
        <v>840589.31451599998</v>
      </c>
      <c r="EP8" s="860">
        <f>SUM(EM8:EO8)</f>
        <v>1240104.570516</v>
      </c>
      <c r="EQ8" s="16"/>
      <c r="ER8" s="20"/>
      <c r="ES8" s="12"/>
      <c r="ET8" s="263">
        <v>3</v>
      </c>
      <c r="EU8" s="876" t="s">
        <v>182</v>
      </c>
      <c r="EV8" s="955">
        <v>971516.0340000001</v>
      </c>
      <c r="EW8" s="955">
        <v>854178.56000000017</v>
      </c>
      <c r="EX8" s="955">
        <v>978091.87800000014</v>
      </c>
      <c r="EY8" s="801">
        <f>SUM(EV8:EX8)</f>
        <v>2803786.4720000005</v>
      </c>
      <c r="EZ8" s="955">
        <v>924269.45366363646</v>
      </c>
      <c r="FA8" s="955">
        <v>811720.19961666677</v>
      </c>
      <c r="FB8" s="955">
        <v>956101.68350000028</v>
      </c>
      <c r="FC8" s="801">
        <f>SUM(EZ8:FB8)</f>
        <v>2692091.3367803036</v>
      </c>
      <c r="FD8" s="860">
        <f>(FC8/$FC$9)*$FD$9</f>
        <v>1966319.5531548369</v>
      </c>
      <c r="FE8" s="860">
        <f>(FC8/$FC$9)*$FE$9</f>
        <v>725772.13740509457</v>
      </c>
      <c r="FF8" s="860">
        <f t="shared" si="20"/>
        <v>2692091.6905599316</v>
      </c>
      <c r="FG8" s="16"/>
      <c r="FH8" s="20"/>
      <c r="FI8" s="12"/>
      <c r="FJ8" s="192">
        <f>FJ7+1</f>
        <v>3</v>
      </c>
      <c r="FK8" s="265"/>
      <c r="FL8" s="878" t="s">
        <v>183</v>
      </c>
      <c r="FM8" s="860">
        <v>188892.37299999996</v>
      </c>
      <c r="FN8" s="860">
        <v>275252.03999999998</v>
      </c>
      <c r="FO8" s="860">
        <v>460452.28275999997</v>
      </c>
      <c r="FP8" s="801">
        <f t="shared" si="21"/>
        <v>924596.69576000003</v>
      </c>
      <c r="FQ8" s="860">
        <v>189243.32754545452</v>
      </c>
      <c r="FR8" s="860">
        <v>275252.03999999998</v>
      </c>
      <c r="FS8" s="860">
        <v>462708.78275999997</v>
      </c>
      <c r="FT8" s="860">
        <v>927204.15030545439</v>
      </c>
      <c r="FU8" s="955">
        <v>927204.15030545439</v>
      </c>
      <c r="FV8" s="16"/>
      <c r="FW8" s="266"/>
      <c r="FX8" s="12"/>
      <c r="FY8" s="192">
        <v>3</v>
      </c>
      <c r="FZ8" s="969" t="s">
        <v>184</v>
      </c>
      <c r="GA8" s="860">
        <v>0</v>
      </c>
      <c r="GB8" s="860">
        <v>1585.69</v>
      </c>
      <c r="GC8" s="860">
        <v>4560.8500000000004</v>
      </c>
      <c r="GD8" s="801">
        <f t="shared" si="1"/>
        <v>6146.5400000000009</v>
      </c>
      <c r="GE8" s="860">
        <v>0</v>
      </c>
      <c r="GF8" s="860">
        <v>1585.69</v>
      </c>
      <c r="GG8" s="860">
        <v>4560.8499999999995</v>
      </c>
      <c r="GH8" s="860">
        <f>SUM(GE8:GG8)</f>
        <v>6146.5399999999991</v>
      </c>
      <c r="GI8" s="202"/>
      <c r="GJ8" s="203"/>
      <c r="GK8" s="12"/>
      <c r="GL8" s="192">
        <v>3</v>
      </c>
      <c r="GM8" s="974" t="s">
        <v>185</v>
      </c>
      <c r="GN8" s="860">
        <v>32659360</v>
      </c>
      <c r="GO8" s="860">
        <v>73143841</v>
      </c>
      <c r="GP8" s="860">
        <v>125268601</v>
      </c>
      <c r="GQ8" s="801">
        <f>SUM(GN8:GP8)</f>
        <v>231071802</v>
      </c>
      <c r="GR8" s="860">
        <v>32785892.454545457</v>
      </c>
      <c r="GS8" s="860">
        <v>73143841</v>
      </c>
      <c r="GT8" s="860">
        <v>126704632</v>
      </c>
      <c r="GU8" s="860">
        <f>SUM(GR8:GT8)</f>
        <v>232634365.45454544</v>
      </c>
      <c r="GV8" s="12"/>
      <c r="GW8" s="13"/>
      <c r="GX8" s="12"/>
      <c r="GY8" s="12"/>
      <c r="GZ8" s="192">
        <v>3</v>
      </c>
      <c r="HA8" s="886">
        <v>3</v>
      </c>
      <c r="HB8" s="886">
        <v>10</v>
      </c>
      <c r="HC8" s="886">
        <v>12</v>
      </c>
      <c r="HD8" s="887">
        <v>20344988.5</v>
      </c>
      <c r="HE8" s="887">
        <v>32658783</v>
      </c>
      <c r="HF8" s="800">
        <f t="shared" si="22"/>
        <v>1.2</v>
      </c>
      <c r="HG8" s="800">
        <f t="shared" si="23"/>
        <v>1.6052495188188483</v>
      </c>
      <c r="HH8" s="802">
        <v>0.91666666666666663</v>
      </c>
      <c r="HI8" s="802">
        <v>8.3333333333333329E-2</v>
      </c>
      <c r="HJ8" s="802">
        <v>0</v>
      </c>
      <c r="HK8" s="12"/>
      <c r="HL8" s="13"/>
      <c r="HM8" s="12"/>
      <c r="HN8" s="267">
        <v>3</v>
      </c>
      <c r="HO8" s="892">
        <v>3</v>
      </c>
      <c r="HP8" s="799">
        <f t="shared" si="2"/>
        <v>1.6052495188188483</v>
      </c>
      <c r="HQ8" s="860">
        <v>1380.25</v>
      </c>
      <c r="HR8" s="801">
        <f t="shared" si="24"/>
        <v>2215.6456483497154</v>
      </c>
      <c r="HS8" s="860">
        <v>3040578</v>
      </c>
      <c r="HT8" s="975">
        <v>3540202</v>
      </c>
      <c r="HU8" s="860">
        <v>1529821.8165000002</v>
      </c>
      <c r="HV8" s="975">
        <v>1806306</v>
      </c>
      <c r="HW8" s="860">
        <v>225000</v>
      </c>
      <c r="HX8" s="955">
        <v>270000</v>
      </c>
      <c r="HY8" s="860">
        <f t="shared" si="25"/>
        <v>1756202.0665000002</v>
      </c>
      <c r="HZ8" s="860">
        <f t="shared" si="25"/>
        <v>2078521.6456483498</v>
      </c>
      <c r="IA8" s="206"/>
      <c r="IB8" s="207"/>
      <c r="IC8" s="206"/>
      <c r="ID8" s="208">
        <v>3</v>
      </c>
      <c r="IE8" s="892">
        <v>3</v>
      </c>
      <c r="IF8" s="896">
        <f t="shared" si="3"/>
        <v>1.2</v>
      </c>
      <c r="IG8" s="897">
        <f t="shared" si="3"/>
        <v>1.6052495188188483</v>
      </c>
      <c r="IH8" s="955">
        <v>577305.36855060607</v>
      </c>
      <c r="II8" s="801">
        <f t="shared" ref="II8:II25" si="64">IH8*$IG8</f>
        <v>926719.1650773983</v>
      </c>
      <c r="IJ8" s="955">
        <v>32067.097500000003</v>
      </c>
      <c r="IK8" s="801">
        <f>IJ8*$IG8</f>
        <v>51475.692831792097</v>
      </c>
      <c r="IL8" s="955">
        <v>345698.17394939391</v>
      </c>
      <c r="IM8" s="801">
        <f>IL8*IF8</f>
        <v>414837.8087392727</v>
      </c>
      <c r="IN8" s="955">
        <v>450099.62629260041</v>
      </c>
      <c r="IO8" s="995">
        <v>568283.17533084238</v>
      </c>
      <c r="IP8" s="955">
        <v>59748.991000000009</v>
      </c>
      <c r="IQ8" s="801">
        <f t="shared" si="27"/>
        <v>95912.039052661712</v>
      </c>
      <c r="IR8" s="955">
        <v>52762.979000000007</v>
      </c>
      <c r="IS8" s="801">
        <f t="shared" si="28"/>
        <v>84697.746651199006</v>
      </c>
      <c r="IT8" s="955">
        <v>8488.5190000000002</v>
      </c>
      <c r="IU8" s="801">
        <f t="shared" si="29"/>
        <v>13626.191040234651</v>
      </c>
      <c r="IV8" s="955">
        <v>172420.86052500003</v>
      </c>
      <c r="IW8" s="801">
        <f t="shared" si="30"/>
        <v>276778.50339208805</v>
      </c>
      <c r="IX8" s="860">
        <f t="shared" si="31"/>
        <v>1698591.6158176006</v>
      </c>
      <c r="IY8" s="860">
        <f t="shared" si="31"/>
        <v>2432330.3221154893</v>
      </c>
      <c r="IZ8" s="898">
        <f t="shared" si="4"/>
        <v>7.4477065545139549</v>
      </c>
      <c r="JA8" s="12"/>
      <c r="JB8" s="13"/>
      <c r="JC8" s="12"/>
      <c r="JD8" s="192">
        <v>3</v>
      </c>
      <c r="JE8" s="886">
        <v>3</v>
      </c>
      <c r="JF8" s="796">
        <f t="shared" si="5"/>
        <v>12</v>
      </c>
      <c r="JG8" s="977">
        <v>11</v>
      </c>
      <c r="JH8" s="859">
        <f t="shared" si="6"/>
        <v>32658783</v>
      </c>
      <c r="JI8" s="859">
        <f>JH8*$JK$26</f>
        <v>32486880.712701254</v>
      </c>
      <c r="JJ8" s="904">
        <f t="shared" si="33"/>
        <v>0.91666666666666663</v>
      </c>
      <c r="JK8" s="904">
        <f t="shared" si="34"/>
        <v>0.99473641478622321</v>
      </c>
      <c r="JL8" s="904">
        <f t="shared" si="35"/>
        <v>0.99709851628413038</v>
      </c>
      <c r="JM8" s="886" t="s">
        <v>424</v>
      </c>
      <c r="JN8" s="209"/>
      <c r="JO8" s="210"/>
      <c r="JP8" s="209"/>
      <c r="JQ8" s="192">
        <v>3</v>
      </c>
      <c r="JR8" s="886">
        <v>3</v>
      </c>
      <c r="JS8" s="910" t="str">
        <f t="shared" si="7"/>
        <v>Q4</v>
      </c>
      <c r="JT8" s="911">
        <f t="shared" si="8"/>
        <v>0.99709851628413038</v>
      </c>
      <c r="JU8" s="860">
        <f t="shared" si="36"/>
        <v>2215.6456483497154</v>
      </c>
      <c r="JV8" s="860">
        <f t="shared" si="37"/>
        <v>2209.2169885808912</v>
      </c>
      <c r="JW8" s="860">
        <f t="shared" si="9"/>
        <v>3540202</v>
      </c>
      <c r="JX8" s="860">
        <f t="shared" si="38"/>
        <v>3584598.6023019957</v>
      </c>
      <c r="JY8" s="860">
        <f t="shared" si="10"/>
        <v>1806306</v>
      </c>
      <c r="JZ8" s="860">
        <f t="shared" si="11"/>
        <v>1608649.9816234778</v>
      </c>
      <c r="KA8" s="860">
        <f t="shared" si="39"/>
        <v>270000</v>
      </c>
      <c r="KB8" s="860">
        <f t="shared" si="40"/>
        <v>70697.848305912907</v>
      </c>
      <c r="KC8" s="860">
        <f t="shared" si="41"/>
        <v>2078521.6456483498</v>
      </c>
      <c r="KD8" s="860">
        <f t="shared" si="41"/>
        <v>1681557.0469179717</v>
      </c>
      <c r="KE8" s="211"/>
      <c r="KF8" s="210"/>
      <c r="KG8" s="209"/>
      <c r="KH8" s="243">
        <f t="shared" ref="KH8:KH28" si="65">KH7+1</f>
        <v>3</v>
      </c>
      <c r="KI8" s="891">
        <v>2</v>
      </c>
      <c r="KJ8" s="920">
        <f t="shared" ref="KJ8:KK27" si="66">JJ7</f>
        <v>1</v>
      </c>
      <c r="KK8" s="920">
        <f t="shared" si="66"/>
        <v>0.99473641478622332</v>
      </c>
      <c r="KL8" s="683">
        <v>1.6626666699999999</v>
      </c>
      <c r="KM8" s="794">
        <f t="shared" ref="KM8:KM26" si="67">II7*KM$6/KL8*JK7</f>
        <v>469748.58739511739</v>
      </c>
      <c r="KN8" s="683">
        <v>1.6626666699999999</v>
      </c>
      <c r="KO8" s="794">
        <f t="shared" si="42"/>
        <v>34374.422124677265</v>
      </c>
      <c r="KP8" s="683">
        <v>1.6626666699999999</v>
      </c>
      <c r="KQ8" s="794">
        <f t="shared" si="43"/>
        <v>186448.15477835533</v>
      </c>
      <c r="KR8" s="683">
        <v>1.6626666699999999</v>
      </c>
      <c r="KS8" s="794">
        <f t="shared" ref="KS8:KS26" si="68">IO7*KS$6/KR8*KJ8</f>
        <v>378727.2253303121</v>
      </c>
      <c r="KT8" s="683">
        <v>1.6626666699999999</v>
      </c>
      <c r="KU8" s="794">
        <f t="shared" si="44"/>
        <v>63127.42925856229</v>
      </c>
      <c r="KV8" s="683">
        <v>1.6626666699999999</v>
      </c>
      <c r="KW8" s="794">
        <f t="shared" si="45"/>
        <v>38054.471201893502</v>
      </c>
      <c r="KX8" s="683">
        <v>1.6626666699999999</v>
      </c>
      <c r="KY8" s="794">
        <f t="shared" si="46"/>
        <v>55038.155379966593</v>
      </c>
      <c r="KZ8" s="683">
        <v>1.6626666699999999</v>
      </c>
      <c r="LA8" s="794">
        <f t="shared" si="47"/>
        <v>253979.63382440538</v>
      </c>
      <c r="LB8" s="650">
        <f t="shared" si="48"/>
        <v>1440777.7601833835</v>
      </c>
      <c r="LC8" s="650">
        <f>KM8+KO8+KQ8+KS8+KU8+KY8+LA8+KW8</f>
        <v>1479498.0792932897</v>
      </c>
      <c r="LD8" s="16"/>
      <c r="LE8" s="220"/>
      <c r="LF8" s="12"/>
      <c r="LG8" s="192">
        <v>3</v>
      </c>
      <c r="LH8" s="921">
        <v>3</v>
      </c>
      <c r="LI8" s="860">
        <f t="shared" si="12"/>
        <v>1756202.0665000002</v>
      </c>
      <c r="LJ8" s="860">
        <f t="shared" si="12"/>
        <v>2078521.6456483498</v>
      </c>
      <c r="LK8" s="801">
        <f t="shared" si="13"/>
        <v>1681557.0469179717</v>
      </c>
      <c r="LL8" s="860">
        <f t="shared" si="14"/>
        <v>1698591.6158176006</v>
      </c>
      <c r="LM8" s="860">
        <f t="shared" si="14"/>
        <v>2432330.3221154893</v>
      </c>
      <c r="LN8" s="801">
        <f t="shared" si="49"/>
        <v>2425272.9552942552</v>
      </c>
      <c r="LO8" s="860">
        <f t="shared" si="50"/>
        <v>57610.450682399562</v>
      </c>
      <c r="LP8" s="860">
        <f t="shared" si="50"/>
        <v>-353808.67646713951</v>
      </c>
      <c r="LQ8" s="860">
        <f t="shared" si="50"/>
        <v>-743715.90837628348</v>
      </c>
      <c r="LR8" s="12"/>
      <c r="LS8" s="13"/>
      <c r="LT8" s="12"/>
      <c r="LU8" s="192">
        <f t="shared" ref="LU8:LU13" si="69">LU7+1</f>
        <v>3</v>
      </c>
      <c r="LV8" s="923" t="s">
        <v>42</v>
      </c>
      <c r="LW8" s="924">
        <f>'Actuals Phase I Schedules'!MC8</f>
        <v>240819284.15000001</v>
      </c>
      <c r="LX8" s="12"/>
      <c r="LY8" s="13"/>
      <c r="LZ8" s="12"/>
      <c r="MA8" s="222">
        <f>MA7+1</f>
        <v>2</v>
      </c>
      <c r="MB8" s="812" t="s">
        <v>178</v>
      </c>
      <c r="MC8" s="650">
        <f>N8</f>
        <v>240819284.15000001</v>
      </c>
      <c r="MD8" s="747">
        <f t="shared" si="51"/>
        <v>11.033988255143685</v>
      </c>
      <c r="ME8" s="660"/>
      <c r="MF8" s="792">
        <f>MC8</f>
        <v>240819284.15000001</v>
      </c>
      <c r="MG8" s="747">
        <f t="shared" si="52"/>
        <v>11.033988255143685</v>
      </c>
      <c r="MH8" s="12"/>
      <c r="MI8" s="13"/>
      <c r="MJ8" s="12"/>
      <c r="MK8" s="222">
        <f>MK7+1</f>
        <v>2</v>
      </c>
      <c r="ML8" s="812" t="str">
        <f t="shared" si="53"/>
        <v>Less Purchases</v>
      </c>
      <c r="MM8" s="979">
        <v>239866309.41368827</v>
      </c>
      <c r="MN8" s="650">
        <f>MC8</f>
        <v>240819284.15000001</v>
      </c>
      <c r="MO8" s="650">
        <f t="shared" ref="MO8:MO32" si="70">MN8-MM8</f>
        <v>952974.73631173372</v>
      </c>
      <c r="MP8" s="723">
        <f t="shared" ref="MP8:MP31" si="71">MO8/MM8</f>
        <v>3.9729411714430245E-3</v>
      </c>
      <c r="MQ8" s="12"/>
      <c r="MR8" s="13"/>
      <c r="MS8" s="12"/>
    </row>
    <row r="9" spans="1:405" ht="17.25" thickBot="1" x14ac:dyDescent="0.35">
      <c r="B9" s="143">
        <f t="shared" ref="B9:B22" si="72">B8+1</f>
        <v>4</v>
      </c>
      <c r="C9" s="790"/>
      <c r="D9" s="660" t="s">
        <v>186</v>
      </c>
      <c r="E9" s="791"/>
      <c r="F9" s="792">
        <f>F7-F8</f>
        <v>105753896.93769997</v>
      </c>
      <c r="G9" s="793">
        <f t="shared" si="15"/>
        <v>5.0829189065932399</v>
      </c>
      <c r="H9" s="792">
        <f>H7-H8</f>
        <v>101535048.82577825</v>
      </c>
      <c r="I9" s="724">
        <f t="shared" si="16"/>
        <v>4.8545812597992137</v>
      </c>
      <c r="J9" s="794">
        <f t="shared" si="54"/>
        <v>-4218848.1119217277</v>
      </c>
      <c r="K9" s="792">
        <f>HV26</f>
        <v>123895104</v>
      </c>
      <c r="L9" s="724">
        <f t="shared" si="17"/>
        <v>5.6468131509887716</v>
      </c>
      <c r="M9" s="794">
        <f t="shared" si="55"/>
        <v>22360055.174221754</v>
      </c>
      <c r="N9" s="792">
        <f>JZ26</f>
        <v>108071775.95106348</v>
      </c>
      <c r="O9" s="724">
        <f t="shared" si="18"/>
        <v>4.9516911021702086</v>
      </c>
      <c r="P9" s="794">
        <f t="shared" si="56"/>
        <v>-15823328.048936516</v>
      </c>
      <c r="Q9" s="792">
        <f t="shared" si="57"/>
        <v>2317879.0133635104</v>
      </c>
      <c r="R9" s="723">
        <f>O9/G9-1</f>
        <v>-2.5817410593116263E-2</v>
      </c>
      <c r="V9" s="185"/>
      <c r="W9" s="186" t="s">
        <v>24</v>
      </c>
      <c r="X9" s="269"/>
      <c r="Y9" s="270"/>
      <c r="Z9" s="270"/>
      <c r="AA9" s="270"/>
      <c r="AB9" s="189"/>
      <c r="AC9" s="234"/>
      <c r="AF9" s="271">
        <f t="shared" ref="AF9:AF21" si="73">AF8+1</f>
        <v>3</v>
      </c>
      <c r="AG9" s="816" t="s">
        <v>187</v>
      </c>
      <c r="AH9" s="817">
        <f>F14/AH7</f>
        <v>21.657528709018845</v>
      </c>
      <c r="AI9" s="817">
        <f>F15/AI7</f>
        <v>20.908375447703264</v>
      </c>
      <c r="AJ9" s="817">
        <f>F16/AJ7</f>
        <v>29.122560090542329</v>
      </c>
      <c r="AL9" s="273"/>
      <c r="AN9" s="222">
        <v>4</v>
      </c>
      <c r="AO9" s="18"/>
      <c r="AQ9" s="660" t="s">
        <v>188</v>
      </c>
      <c r="AR9" s="791"/>
      <c r="AS9" s="821">
        <v>40798541.478400007</v>
      </c>
      <c r="AT9" s="822">
        <v>3.9784808756709964</v>
      </c>
      <c r="AU9" s="783"/>
      <c r="AV9" s="821">
        <v>43143142.145199999</v>
      </c>
      <c r="AW9" s="822">
        <v>3.9977765121497129</v>
      </c>
      <c r="AX9" s="823">
        <f>AW9/AT9-1</f>
        <v>4.8500010636502999E-3</v>
      </c>
      <c r="AY9" s="783"/>
      <c r="AZ9" s="821">
        <v>52055496.75</v>
      </c>
      <c r="BA9" s="822">
        <v>4.0348819154069133</v>
      </c>
      <c r="BB9" s="823">
        <f>BA9/AW9-1</f>
        <v>9.2815101455603344E-3</v>
      </c>
      <c r="BC9" s="783"/>
      <c r="BD9" s="821">
        <v>59830706</v>
      </c>
      <c r="BE9" s="822">
        <v>4.0684254603524463</v>
      </c>
      <c r="BF9" s="823">
        <f>BE9/BA9-1</f>
        <v>8.313389499070345E-3</v>
      </c>
      <c r="BG9" s="783"/>
      <c r="BH9" s="821">
        <v>59786661.226033345</v>
      </c>
      <c r="BI9" s="822">
        <v>3.9342611202245616</v>
      </c>
      <c r="BJ9" s="823">
        <f>BI9/BE9-1</f>
        <v>-3.2976968961417885E-2</v>
      </c>
      <c r="BK9" s="783"/>
      <c r="BL9" s="821">
        <v>66021321</v>
      </c>
      <c r="BM9" s="822">
        <v>3.9248623221128827</v>
      </c>
      <c r="BN9" s="823">
        <f>BM9/BI9-1</f>
        <v>-2.3889614401452208E-3</v>
      </c>
      <c r="BO9" s="783"/>
      <c r="BP9" s="821">
        <v>81963127.490000069</v>
      </c>
      <c r="BQ9" s="822">
        <v>4.4189957395433002</v>
      </c>
      <c r="BR9" s="823">
        <f>BQ9/BM9-1</f>
        <v>0.12589828046870433</v>
      </c>
      <c r="BS9" s="783"/>
      <c r="BT9" s="660">
        <v>94550736.985399961</v>
      </c>
      <c r="BU9" s="660">
        <v>4.8189639488589151</v>
      </c>
      <c r="BV9" s="660">
        <f>BU9/BQ9-1</f>
        <v>9.0511109964761305E-2</v>
      </c>
      <c r="BW9" s="237">
        <v>96385423.959800005</v>
      </c>
      <c r="BX9" s="238">
        <v>4.9793229575775362</v>
      </c>
      <c r="BY9" s="824">
        <f t="shared" si="60"/>
        <v>3.3276656646620495E-2</v>
      </c>
      <c r="BZ9" s="824">
        <v>104384344.36159995</v>
      </c>
      <c r="CA9" s="824">
        <v>5.1171376873373191</v>
      </c>
      <c r="CB9" s="824">
        <f t="shared" si="61"/>
        <v>2.7677403320476746E-2</v>
      </c>
      <c r="CC9" s="956">
        <v>97424965.908500075</v>
      </c>
      <c r="CD9" s="956">
        <v>4.6875236286878099</v>
      </c>
      <c r="CE9" s="723">
        <f t="shared" si="62"/>
        <v>-8.3955931010536666E-2</v>
      </c>
      <c r="CF9" s="792">
        <f t="shared" si="19"/>
        <v>105753896.93769997</v>
      </c>
      <c r="CG9" s="824">
        <f t="shared" si="19"/>
        <v>5.0829189065932399</v>
      </c>
      <c r="CH9" s="723">
        <f>CG9/CD9-1</f>
        <v>8.4350567426603851E-2</v>
      </c>
      <c r="CI9" s="825">
        <f t="shared" si="63"/>
        <v>1.5920999404767771</v>
      </c>
      <c r="CJ9" s="723">
        <f t="shared" ref="CJ9:CJ11" si="74">(CI9+1)^(1/(2022-2004))-1</f>
        <v>5.4339924883815671E-2</v>
      </c>
      <c r="CN9" s="274">
        <v>4</v>
      </c>
      <c r="CO9" s="275" t="s">
        <v>71</v>
      </c>
      <c r="CP9" s="276">
        <f t="shared" ref="CP9:CW9" si="75">SUM(CP6:CP8)</f>
        <v>1754646.0788748774</v>
      </c>
      <c r="CQ9" s="277">
        <f t="shared" si="75"/>
        <v>32674880.229199998</v>
      </c>
      <c r="CR9" s="277">
        <f t="shared" si="75"/>
        <v>5326417.5981999999</v>
      </c>
      <c r="CS9" s="278">
        <f t="shared" si="75"/>
        <v>38001297.827399999</v>
      </c>
      <c r="CT9" s="276">
        <f t="shared" si="75"/>
        <v>1762701.0470566959</v>
      </c>
      <c r="CU9" s="277">
        <f t="shared" si="75"/>
        <v>32842218.314654544</v>
      </c>
      <c r="CV9" s="277">
        <f t="shared" si="75"/>
        <v>3970981.5330281532</v>
      </c>
      <c r="CW9" s="277">
        <f t="shared" si="75"/>
        <v>36813199.8476827</v>
      </c>
      <c r="CY9" s="20"/>
      <c r="DA9" s="274">
        <v>4</v>
      </c>
      <c r="DB9" s="275" t="s">
        <v>71</v>
      </c>
      <c r="DC9" s="279">
        <f>SUM(DC6:DC8)</f>
        <v>86327.441190476195</v>
      </c>
      <c r="DD9" s="868">
        <f>SUM(DD6:DD8)</f>
        <v>1804966.5518499999</v>
      </c>
      <c r="DE9" s="279">
        <f>SUM(DE6:DE8)</f>
        <v>86370.623008658004</v>
      </c>
      <c r="DF9" s="869">
        <f>SUM(DF6:DF8)</f>
        <v>1805841.8473045453</v>
      </c>
      <c r="DG9" s="869">
        <f>SUM(DG6:DG8)</f>
        <v>1805841.8473045453</v>
      </c>
      <c r="DI9" s="20"/>
      <c r="DK9" s="274">
        <v>4</v>
      </c>
      <c r="DL9" s="275" t="s">
        <v>71</v>
      </c>
      <c r="DM9" s="279">
        <f>SUM(DM6:DM8)</f>
        <v>567379.8664464287</v>
      </c>
      <c r="DN9" s="280">
        <f>SUM(DN6:DN8)</f>
        <v>16523554.25475</v>
      </c>
      <c r="DO9" s="279">
        <f>SUM(DO6:DO8)</f>
        <v>570064.6364464286</v>
      </c>
      <c r="DP9" s="281">
        <f>SUM(DP6:DP8)</f>
        <v>17962433.615376391</v>
      </c>
      <c r="DT9" s="222">
        <v>4</v>
      </c>
      <c r="DU9" s="733" t="s">
        <v>189</v>
      </c>
      <c r="DV9" s="650">
        <v>745102.29810000001</v>
      </c>
      <c r="DW9" s="650">
        <v>846858.39999999991</v>
      </c>
      <c r="DX9" s="650">
        <v>1366842.7921999996</v>
      </c>
      <c r="DY9" s="650">
        <v>2958803.4902999997</v>
      </c>
      <c r="DZ9" s="792"/>
      <c r="EA9" s="650"/>
      <c r="EB9" s="650"/>
      <c r="EC9" s="650"/>
      <c r="EG9" s="282">
        <v>4</v>
      </c>
      <c r="EH9" s="283" t="s">
        <v>71</v>
      </c>
      <c r="EI9" s="284">
        <f t="shared" ref="EI9:EO9" si="76">SUM(EI6:EI8)</f>
        <v>451090.18599999999</v>
      </c>
      <c r="EJ9" s="284">
        <f t="shared" si="76"/>
        <v>1817830.5189999999</v>
      </c>
      <c r="EK9" s="284">
        <f t="shared" si="76"/>
        <v>3631481.501164</v>
      </c>
      <c r="EL9" s="285">
        <f t="shared" si="76"/>
        <v>5900402.2061640006</v>
      </c>
      <c r="EM9" s="284">
        <f t="shared" si="76"/>
        <v>449815.8674539472</v>
      </c>
      <c r="EN9" s="284">
        <f t="shared" si="76"/>
        <v>1817830.5189999999</v>
      </c>
      <c r="EO9" s="284">
        <f t="shared" si="76"/>
        <v>3675012.1308598211</v>
      </c>
      <c r="EP9" s="284">
        <f>SUM(EP6:EP8)</f>
        <v>5942658.5173137691</v>
      </c>
      <c r="EQ9" s="16"/>
      <c r="ER9" s="266"/>
      <c r="ET9" s="282">
        <v>4</v>
      </c>
      <c r="EU9" s="283" t="s">
        <v>71</v>
      </c>
      <c r="EV9" s="284">
        <f t="shared" ref="EV9:FC9" si="77">SUM(EV6:EV8)</f>
        <v>1227455.1140000001</v>
      </c>
      <c r="EW9" s="284">
        <f t="shared" si="77"/>
        <v>1152595.8190000001</v>
      </c>
      <c r="EX9" s="284">
        <f t="shared" si="77"/>
        <v>1416596.2439999999</v>
      </c>
      <c r="EY9" s="285">
        <f t="shared" si="77"/>
        <v>3796647.1770000006</v>
      </c>
      <c r="EZ9" s="284">
        <f t="shared" si="77"/>
        <v>1164701.1920819106</v>
      </c>
      <c r="FA9" s="284">
        <f t="shared" si="77"/>
        <v>1091059.0536166667</v>
      </c>
      <c r="FB9" s="284">
        <f t="shared" si="77"/>
        <v>1366659.5182101913</v>
      </c>
      <c r="FC9" s="285">
        <f t="shared" si="77"/>
        <v>3622419.763908769</v>
      </c>
      <c r="FD9" s="284">
        <v>2645836.9796721428</v>
      </c>
      <c r="FE9" s="284">
        <v>976583.26027482667</v>
      </c>
      <c r="FF9" s="284">
        <f t="shared" si="20"/>
        <v>3622420.2399469693</v>
      </c>
      <c r="FG9" s="16"/>
      <c r="FH9" s="266"/>
      <c r="FJ9" s="222">
        <f t="shared" ref="FJ9:FJ36" si="78">FJ8+1</f>
        <v>4</v>
      </c>
      <c r="FK9" s="242"/>
      <c r="FL9" s="877" t="s">
        <v>190</v>
      </c>
      <c r="FM9" s="650">
        <v>187053.99349999998</v>
      </c>
      <c r="FN9" s="650">
        <v>201367.96999999997</v>
      </c>
      <c r="FO9" s="650">
        <v>211381.89823999998</v>
      </c>
      <c r="FP9" s="794">
        <f t="shared" si="21"/>
        <v>599803.86173999996</v>
      </c>
      <c r="FQ9" s="650">
        <v>187102.71895454542</v>
      </c>
      <c r="FR9" s="650">
        <v>201367.96999999997</v>
      </c>
      <c r="FS9" s="650">
        <v>211768.89823999998</v>
      </c>
      <c r="FT9" s="650">
        <v>600239.58719454543</v>
      </c>
      <c r="FU9" s="955">
        <v>600239.58719454543</v>
      </c>
      <c r="FV9" s="16"/>
      <c r="FW9" s="266"/>
      <c r="FY9" s="222">
        <v>4</v>
      </c>
      <c r="FZ9" s="969" t="s">
        <v>191</v>
      </c>
      <c r="GA9" s="650">
        <v>0</v>
      </c>
      <c r="GB9" s="650">
        <v>144.44999999999999</v>
      </c>
      <c r="GC9" s="650">
        <v>0</v>
      </c>
      <c r="GD9" s="794">
        <f t="shared" si="1"/>
        <v>144.44999999999999</v>
      </c>
      <c r="GE9" s="650">
        <v>0</v>
      </c>
      <c r="GF9" s="650">
        <v>144.44999999999999</v>
      </c>
      <c r="GG9" s="650">
        <v>0</v>
      </c>
      <c r="GH9" s="650">
        <f>SUM(GE9:GG9)</f>
        <v>144.44999999999999</v>
      </c>
      <c r="GI9" s="202"/>
      <c r="GJ9" s="203"/>
      <c r="GL9" s="286">
        <v>4</v>
      </c>
      <c r="GM9" s="885" t="s">
        <v>192</v>
      </c>
      <c r="GN9" s="885">
        <f>GN7-GN8</f>
        <v>17336653.61379452</v>
      </c>
      <c r="GO9" s="885">
        <f>GO7-GO8</f>
        <v>36228582.601999998</v>
      </c>
      <c r="GP9" s="885">
        <f>GP7-GP8</f>
        <v>57810304.313600004</v>
      </c>
      <c r="GQ9" s="885">
        <f>SUM(GN9:GP9)</f>
        <v>111375540.52939452</v>
      </c>
      <c r="GR9" s="885">
        <f>GR7-GR8</f>
        <v>15104029.58157273</v>
      </c>
      <c r="GS9" s="885">
        <f>GS7-GS8</f>
        <v>34464321.422000006</v>
      </c>
      <c r="GT9" s="885">
        <f>GT7-GT8</f>
        <v>56786467.263899982</v>
      </c>
      <c r="GU9" s="885">
        <f>SUM(GR9:GT9)</f>
        <v>106354818.26747271</v>
      </c>
      <c r="GZ9" s="222">
        <v>4</v>
      </c>
      <c r="HA9" s="663">
        <v>4</v>
      </c>
      <c r="HB9" s="663">
        <v>10</v>
      </c>
      <c r="HC9" s="663">
        <v>11</v>
      </c>
      <c r="HD9" s="682">
        <v>24610749</v>
      </c>
      <c r="HE9" s="682">
        <v>27099362</v>
      </c>
      <c r="HF9" s="724">
        <f t="shared" si="22"/>
        <v>1.1000000000000001</v>
      </c>
      <c r="HG9" s="724">
        <f t="shared" si="23"/>
        <v>1.1011189460345152</v>
      </c>
      <c r="HH9" s="723">
        <v>1</v>
      </c>
      <c r="HI9" s="723">
        <v>0</v>
      </c>
      <c r="HJ9" s="723">
        <v>0</v>
      </c>
      <c r="HN9" s="243">
        <v>4</v>
      </c>
      <c r="HO9" s="891">
        <v>4</v>
      </c>
      <c r="HP9" s="793">
        <f t="shared" si="2"/>
        <v>1.1011189460345152</v>
      </c>
      <c r="HQ9" s="650">
        <v>14661</v>
      </c>
      <c r="HR9" s="794">
        <f t="shared" si="24"/>
        <v>16143.504867812027</v>
      </c>
      <c r="HS9" s="650">
        <v>2674997</v>
      </c>
      <c r="HT9" s="975">
        <v>2941415</v>
      </c>
      <c r="HU9" s="650">
        <v>1284924.1558000001</v>
      </c>
      <c r="HV9" s="975">
        <v>1463576</v>
      </c>
      <c r="HW9" s="650">
        <v>225000</v>
      </c>
      <c r="HX9" s="955">
        <v>247500</v>
      </c>
      <c r="HY9" s="650">
        <f t="shared" si="25"/>
        <v>1524585.1558000001</v>
      </c>
      <c r="HZ9" s="650">
        <f t="shared" si="25"/>
        <v>1727219.5048678119</v>
      </c>
      <c r="IA9" s="206"/>
      <c r="IB9" s="207"/>
      <c r="IC9" s="206"/>
      <c r="ID9" s="244">
        <v>4</v>
      </c>
      <c r="IE9" s="891">
        <v>4</v>
      </c>
      <c r="IF9" s="899">
        <f t="shared" si="3"/>
        <v>1.1000000000000001</v>
      </c>
      <c r="IG9" s="900">
        <f t="shared" si="3"/>
        <v>1.1011189460345152</v>
      </c>
      <c r="IH9" s="955">
        <v>488079.30426010059</v>
      </c>
      <c r="II9" s="794">
        <f t="shared" si="64"/>
        <v>537433.36908814148</v>
      </c>
      <c r="IJ9" s="955">
        <v>49144.689999999995</v>
      </c>
      <c r="IK9" s="794">
        <f t="shared" si="26"/>
        <v>54114.149255992976</v>
      </c>
      <c r="IL9" s="955">
        <v>266927.91573989944</v>
      </c>
      <c r="IM9" s="794">
        <f>IL9*IF9</f>
        <v>293620.7073138894</v>
      </c>
      <c r="IN9" s="955">
        <v>446411.14275394066</v>
      </c>
      <c r="IO9" s="995">
        <v>464523.93858632422</v>
      </c>
      <c r="IP9" s="955">
        <v>36638.874999999985</v>
      </c>
      <c r="IQ9" s="794">
        <f t="shared" si="27"/>
        <v>40343.759423890333</v>
      </c>
      <c r="IR9" s="955">
        <v>45956.791999999987</v>
      </c>
      <c r="IS9" s="794">
        <f t="shared" si="28"/>
        <v>50603.894370167429</v>
      </c>
      <c r="IT9" s="955">
        <v>54174.032000000007</v>
      </c>
      <c r="IU9" s="794">
        <f t="shared" si="29"/>
        <v>59652.053018280109</v>
      </c>
      <c r="IV9" s="955">
        <v>148516.94685000001</v>
      </c>
      <c r="IW9" s="794">
        <f t="shared" si="30"/>
        <v>163534.82398373613</v>
      </c>
      <c r="IX9" s="650">
        <f t="shared" si="31"/>
        <v>1535849.6986039407</v>
      </c>
      <c r="IY9" s="650">
        <f t="shared" si="31"/>
        <v>1663826.6950404223</v>
      </c>
      <c r="IZ9" s="683">
        <f t="shared" si="4"/>
        <v>6.1397264446315098</v>
      </c>
      <c r="JD9" s="222">
        <v>4</v>
      </c>
      <c r="JE9" s="663">
        <v>4</v>
      </c>
      <c r="JF9" s="660">
        <f t="shared" si="5"/>
        <v>11</v>
      </c>
      <c r="JG9" s="660">
        <f t="shared" si="32"/>
        <v>11</v>
      </c>
      <c r="JH9" s="905">
        <f t="shared" si="6"/>
        <v>27099362</v>
      </c>
      <c r="JI9" s="905">
        <f>JH9*$JK$26</f>
        <v>26956722.198874015</v>
      </c>
      <c r="JJ9" s="906">
        <f t="shared" si="33"/>
        <v>1</v>
      </c>
      <c r="JK9" s="906">
        <f t="shared" si="34"/>
        <v>0.99473641478622321</v>
      </c>
      <c r="JL9" s="906">
        <f t="shared" si="35"/>
        <v>1.0322474839097553</v>
      </c>
      <c r="JM9" s="663" t="s">
        <v>424</v>
      </c>
      <c r="JN9" s="209"/>
      <c r="JO9" s="210"/>
      <c r="JP9" s="209"/>
      <c r="JQ9" s="222">
        <v>4</v>
      </c>
      <c r="JR9" s="663">
        <v>4</v>
      </c>
      <c r="JS9" s="914" t="str">
        <f t="shared" si="7"/>
        <v>Q4</v>
      </c>
      <c r="JT9" s="913">
        <f t="shared" si="8"/>
        <v>1.0322474839097553</v>
      </c>
      <c r="JU9" s="671">
        <f t="shared" si="36"/>
        <v>16143.504867812027</v>
      </c>
      <c r="JV9" s="671">
        <f t="shared" si="37"/>
        <v>16664.092281283851</v>
      </c>
      <c r="JW9" s="671">
        <f t="shared" si="9"/>
        <v>2941415</v>
      </c>
      <c r="JX9" s="671">
        <f t="shared" si="38"/>
        <v>2974401.5613954696</v>
      </c>
      <c r="JY9" s="671">
        <f t="shared" si="10"/>
        <v>1463576</v>
      </c>
      <c r="JZ9" s="671">
        <f t="shared" si="11"/>
        <v>1334813.6145583862</v>
      </c>
      <c r="KA9" s="671">
        <f t="shared" si="39"/>
        <v>247500</v>
      </c>
      <c r="KB9" s="671">
        <f t="shared" si="40"/>
        <v>58663.134626388877</v>
      </c>
      <c r="KC9" s="671">
        <f t="shared" si="41"/>
        <v>1727219.5048678119</v>
      </c>
      <c r="KD9" s="671">
        <f t="shared" si="41"/>
        <v>1410140.8414660587</v>
      </c>
      <c r="KE9" s="211"/>
      <c r="KF9" s="210"/>
      <c r="KG9" s="209"/>
      <c r="KH9" s="245">
        <f t="shared" si="65"/>
        <v>4</v>
      </c>
      <c r="KI9" s="917">
        <v>3</v>
      </c>
      <c r="KJ9" s="918">
        <f t="shared" si="66"/>
        <v>0.91666666666666663</v>
      </c>
      <c r="KK9" s="918">
        <f t="shared" si="66"/>
        <v>0.99473641478622321</v>
      </c>
      <c r="KL9" s="898">
        <v>1.6546666699999999</v>
      </c>
      <c r="KM9" s="801">
        <f t="shared" si="67"/>
        <v>954302.59472552699</v>
      </c>
      <c r="KN9" s="898">
        <v>1.6546666699999999</v>
      </c>
      <c r="KO9" s="801">
        <f t="shared" si="42"/>
        <v>53007.846482349043</v>
      </c>
      <c r="KP9" s="898">
        <v>1.6546666699999999</v>
      </c>
      <c r="KQ9" s="801">
        <f t="shared" si="43"/>
        <v>393658.57324517204</v>
      </c>
      <c r="KR9" s="898">
        <v>1.6546666699999999</v>
      </c>
      <c r="KS9" s="801">
        <f t="shared" si="68"/>
        <v>539269.90087968996</v>
      </c>
      <c r="KT9" s="898">
        <v>1.6546666699999999</v>
      </c>
      <c r="KU9" s="801">
        <f t="shared" si="44"/>
        <v>98766.822984314524</v>
      </c>
      <c r="KV9" s="898">
        <v>1.6546666699999999</v>
      </c>
      <c r="KW9" s="801">
        <f t="shared" si="45"/>
        <v>87218.741602148628</v>
      </c>
      <c r="KX9" s="898">
        <v>1.6546666699999999</v>
      </c>
      <c r="KY9" s="801">
        <f t="shared" si="46"/>
        <v>14031.769230579815</v>
      </c>
      <c r="KZ9" s="898">
        <v>1.6546666699999999</v>
      </c>
      <c r="LA9" s="919">
        <f t="shared" si="47"/>
        <v>285016.70614447462</v>
      </c>
      <c r="LB9" s="646">
        <f t="shared" si="48"/>
        <v>2432330.3221154893</v>
      </c>
      <c r="LC9" s="646">
        <f t="shared" ref="LC9:LC26" si="79">KM9+KO9+KQ9+KS9+KU9+KY9+LA9+KW9</f>
        <v>2425272.9552942552</v>
      </c>
      <c r="LD9" s="16"/>
      <c r="LE9" s="220"/>
      <c r="LG9" s="222">
        <v>4</v>
      </c>
      <c r="LH9" s="922">
        <v>4</v>
      </c>
      <c r="LI9" s="650">
        <f t="shared" si="12"/>
        <v>1524585.1558000001</v>
      </c>
      <c r="LJ9" s="650">
        <f t="shared" si="12"/>
        <v>1727219.5048678119</v>
      </c>
      <c r="LK9" s="794">
        <f t="shared" si="13"/>
        <v>1410140.8414660587</v>
      </c>
      <c r="LL9" s="650">
        <f t="shared" si="14"/>
        <v>1535849.6986039407</v>
      </c>
      <c r="LM9" s="650">
        <f t="shared" si="14"/>
        <v>1663826.6950404223</v>
      </c>
      <c r="LN9" s="794">
        <f t="shared" si="49"/>
        <v>1717480.9196173598</v>
      </c>
      <c r="LO9" s="650">
        <f t="shared" si="50"/>
        <v>-11264.542803940596</v>
      </c>
      <c r="LP9" s="650">
        <f t="shared" si="50"/>
        <v>63392.809827389661</v>
      </c>
      <c r="LQ9" s="650">
        <f t="shared" si="50"/>
        <v>-307340.07815130102</v>
      </c>
      <c r="LU9" s="222">
        <f t="shared" si="69"/>
        <v>4</v>
      </c>
      <c r="LV9" s="812" t="s">
        <v>193</v>
      </c>
      <c r="LW9" s="650">
        <f>LW7+LW8</f>
        <v>350356628.79773694</v>
      </c>
      <c r="MA9" s="192">
        <f t="shared" ref="MA9:MA24" si="80">MA8+1</f>
        <v>3</v>
      </c>
      <c r="MB9" s="814" t="s">
        <v>194</v>
      </c>
      <c r="MC9" s="860">
        <f>N9</f>
        <v>108071775.95106348</v>
      </c>
      <c r="MD9" s="928">
        <f t="shared" si="51"/>
        <v>4.9516911021702086</v>
      </c>
      <c r="ME9" s="796"/>
      <c r="MF9" s="798">
        <f>MC30</f>
        <v>124413460.79289664</v>
      </c>
      <c r="MG9" s="928">
        <f t="shared" si="52"/>
        <v>5.7004432598326904</v>
      </c>
      <c r="MK9" s="192">
        <f t="shared" ref="MK9:MK24" si="81">MK8+1</f>
        <v>3</v>
      </c>
      <c r="ML9" s="814" t="str">
        <f t="shared" si="53"/>
        <v>Base Handling Commissions (HC)</v>
      </c>
      <c r="MM9" s="979">
        <v>131674066.73842122</v>
      </c>
      <c r="MN9" s="860">
        <f>MC9</f>
        <v>108071775.95106348</v>
      </c>
      <c r="MO9" s="860">
        <f t="shared" si="70"/>
        <v>-23602290.787357733</v>
      </c>
      <c r="MP9" s="830">
        <f t="shared" si="71"/>
        <v>-0.17924783043456205</v>
      </c>
    </row>
    <row r="10" spans="1:405" s="29" customFormat="1" ht="16.5" x14ac:dyDescent="0.3">
      <c r="B10" s="181">
        <f t="shared" si="72"/>
        <v>5</v>
      </c>
      <c r="C10" s="795"/>
      <c r="D10" s="796" t="s">
        <v>195</v>
      </c>
      <c r="E10" s="797"/>
      <c r="F10" s="798">
        <f>GD12</f>
        <v>1116505.0026</v>
      </c>
      <c r="G10" s="799">
        <f t="shared" si="15"/>
        <v>5.3663312193258469E-2</v>
      </c>
      <c r="H10" s="798">
        <f>GH12</f>
        <v>314630.85259999998</v>
      </c>
      <c r="I10" s="800">
        <f t="shared" si="16"/>
        <v>1.504309160679523E-2</v>
      </c>
      <c r="J10" s="801">
        <f t="shared" si="54"/>
        <v>-801874.15</v>
      </c>
      <c r="K10" s="798">
        <f>HR26</f>
        <v>323903.59259512648</v>
      </c>
      <c r="L10" s="800">
        <f t="shared" si="17"/>
        <v>1.4762674288716604E-2</v>
      </c>
      <c r="M10" s="801">
        <f t="shared" si="55"/>
        <v>9272.7399951264961</v>
      </c>
      <c r="N10" s="798">
        <f>JV26</f>
        <v>334355.1237527568</v>
      </c>
      <c r="O10" s="800">
        <f t="shared" si="18"/>
        <v>1.5319663961118174E-2</v>
      </c>
      <c r="P10" s="801">
        <f t="shared" si="56"/>
        <v>10451.531157630321</v>
      </c>
      <c r="Q10" s="798">
        <f t="shared" si="57"/>
        <v>-782149.87884724326</v>
      </c>
      <c r="R10" s="802">
        <f t="shared" si="58"/>
        <v>-0.71452257911425132</v>
      </c>
      <c r="S10" s="12"/>
      <c r="T10" s="13"/>
      <c r="U10" s="12"/>
      <c r="V10" s="165">
        <f>V8+1</f>
        <v>3</v>
      </c>
      <c r="W10" s="805" t="s">
        <v>172</v>
      </c>
      <c r="X10" s="955">
        <v>-2556595.7831702125</v>
      </c>
      <c r="Y10" s="955">
        <v>1170566.5451474434</v>
      </c>
      <c r="Z10" s="955">
        <v>6455212.4211677872</v>
      </c>
      <c r="AA10" s="1001">
        <f>SUM(X10:Z10)</f>
        <v>5069183.1831450183</v>
      </c>
      <c r="AB10" s="18" t="s">
        <v>431</v>
      </c>
      <c r="AC10" s="12"/>
      <c r="AD10" s="13"/>
      <c r="AE10" s="12"/>
      <c r="AF10" s="252">
        <f t="shared" si="73"/>
        <v>4</v>
      </c>
      <c r="AG10" s="191" t="s">
        <v>24</v>
      </c>
      <c r="AK10" s="12"/>
      <c r="AL10" s="13"/>
      <c r="AM10" s="12"/>
      <c r="AN10" s="192">
        <v>5</v>
      </c>
      <c r="AO10" s="254"/>
      <c r="AQ10" s="796" t="s">
        <v>195</v>
      </c>
      <c r="AR10" s="797"/>
      <c r="AS10" s="827">
        <v>351000.77</v>
      </c>
      <c r="AT10" s="828">
        <v>3.4227935612112924E-2</v>
      </c>
      <c r="AU10" s="829"/>
      <c r="AV10" s="827">
        <v>392967.44999999995</v>
      </c>
      <c r="AW10" s="828">
        <v>3.6413574986312203E-2</v>
      </c>
      <c r="AX10" s="830">
        <f>AW10/AT10-1</f>
        <v>6.3855424965384211E-2</v>
      </c>
      <c r="AY10" s="829"/>
      <c r="AZ10" s="827">
        <v>419971.50999999995</v>
      </c>
      <c r="BA10" s="828">
        <v>3.2552478729062043E-2</v>
      </c>
      <c r="BB10" s="830">
        <f>BA10/AW10-1</f>
        <v>-0.10603452857077444</v>
      </c>
      <c r="BC10" s="829"/>
      <c r="BD10" s="827">
        <v>465783.3236</v>
      </c>
      <c r="BE10" s="828">
        <v>3.1672779070028398E-2</v>
      </c>
      <c r="BF10" s="830">
        <f>BE10/BA10-1</f>
        <v>-2.7024045276413E-2</v>
      </c>
      <c r="BG10" s="829"/>
      <c r="BH10" s="827">
        <v>1360261.3124000002</v>
      </c>
      <c r="BI10" s="828">
        <v>8.9511992892331985E-2</v>
      </c>
      <c r="BJ10" s="830">
        <f>BI10/BE10-1</f>
        <v>1.8261489998847686</v>
      </c>
      <c r="BK10" s="829"/>
      <c r="BL10" s="827">
        <v>1390376.9787000001</v>
      </c>
      <c r="BM10" s="828">
        <v>8.2655695684016636E-2</v>
      </c>
      <c r="BN10" s="830">
        <f>BM10/BI10-1</f>
        <v>-7.6596408891960732E-2</v>
      </c>
      <c r="BO10" s="829"/>
      <c r="BP10" s="827">
        <v>770218.05</v>
      </c>
      <c r="BQ10" s="828">
        <v>4.1525871275282955E-2</v>
      </c>
      <c r="BR10" s="830">
        <f>BQ10/BM10-1</f>
        <v>-0.49760423729259196</v>
      </c>
      <c r="BS10" s="829"/>
      <c r="BT10" s="796">
        <v>1472526.2590000001</v>
      </c>
      <c r="BU10" s="796">
        <v>7.5050191908761346E-2</v>
      </c>
      <c r="BV10" s="796">
        <f>BU10/BQ10-1</f>
        <v>0.8073116735164747</v>
      </c>
      <c r="BW10" s="258">
        <v>11886052.370000001</v>
      </c>
      <c r="BX10" s="259">
        <v>0.6140398725184244</v>
      </c>
      <c r="BY10" s="831">
        <f t="shared" si="60"/>
        <v>7.1817228830662252</v>
      </c>
      <c r="BZ10" s="831">
        <v>6021594.1700000009</v>
      </c>
      <c r="CA10" s="831">
        <v>0.29519107155012259</v>
      </c>
      <c r="CB10" s="831">
        <f t="shared" si="61"/>
        <v>-0.51926400098510661</v>
      </c>
      <c r="CC10" s="956">
        <v>2435490.3939</v>
      </c>
      <c r="CD10" s="956">
        <v>0.11718165526042415</v>
      </c>
      <c r="CE10" s="802">
        <f t="shared" si="62"/>
        <v>-0.60303116674541068</v>
      </c>
      <c r="CF10" s="798">
        <f t="shared" si="19"/>
        <v>1116505.0026</v>
      </c>
      <c r="CG10" s="831">
        <f t="shared" si="19"/>
        <v>5.3663312193258469E-2</v>
      </c>
      <c r="CH10" s="802">
        <f>CG10/CD10-1</f>
        <v>-0.54205022898851118</v>
      </c>
      <c r="CI10" s="832">
        <f t="shared" si="63"/>
        <v>2.1809189552490156</v>
      </c>
      <c r="CJ10" s="802">
        <f t="shared" si="74"/>
        <v>6.6398656147326873E-2</v>
      </c>
      <c r="CK10" s="12"/>
      <c r="CL10" s="13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20"/>
      <c r="CZ10" s="12"/>
      <c r="DA10" s="287"/>
      <c r="DB10" s="288"/>
      <c r="DC10" s="289"/>
      <c r="DD10" s="12"/>
      <c r="DE10" s="289"/>
      <c r="DF10" s="12"/>
      <c r="DG10" s="12"/>
      <c r="DH10" s="12"/>
      <c r="DI10" s="20"/>
      <c r="DJ10" s="12"/>
      <c r="DK10" s="12"/>
      <c r="DL10" s="12"/>
      <c r="DM10" s="12"/>
      <c r="DN10" s="12"/>
      <c r="DO10" s="12"/>
      <c r="DP10" s="12"/>
      <c r="DQ10" s="12"/>
      <c r="DR10" s="13"/>
      <c r="DS10" s="12"/>
      <c r="DT10" s="192">
        <v>5</v>
      </c>
      <c r="DU10" s="874" t="s">
        <v>196</v>
      </c>
      <c r="DV10" s="860"/>
      <c r="DW10" s="860"/>
      <c r="DX10" s="860"/>
      <c r="DY10" s="860"/>
      <c r="DZ10" s="954">
        <v>3188331.9858326707</v>
      </c>
      <c r="EA10" s="955">
        <v>5333427.9915022952</v>
      </c>
      <c r="EB10" s="955">
        <v>7194319.2214661567</v>
      </c>
      <c r="EC10" s="955">
        <v>15716079.198801123</v>
      </c>
      <c r="ED10" s="12"/>
      <c r="EE10" s="13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6"/>
      <c r="ER10" s="266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951" t="s">
        <v>197</v>
      </c>
      <c r="FF10" s="12"/>
      <c r="FG10" s="16"/>
      <c r="FH10" s="266"/>
      <c r="FI10" s="12"/>
      <c r="FJ10" s="192">
        <f t="shared" si="78"/>
        <v>5</v>
      </c>
      <c r="FK10" s="265"/>
      <c r="FL10" s="878" t="s">
        <v>198</v>
      </c>
      <c r="FM10" s="860">
        <v>27043.4</v>
      </c>
      <c r="FN10" s="860">
        <v>143518.97</v>
      </c>
      <c r="FO10" s="860">
        <v>26153.77</v>
      </c>
      <c r="FP10" s="801">
        <f t="shared" si="21"/>
        <v>196716.14</v>
      </c>
      <c r="FQ10" s="860">
        <v>0</v>
      </c>
      <c r="FR10" s="860">
        <v>0</v>
      </c>
      <c r="FS10" s="860">
        <v>0</v>
      </c>
      <c r="FT10" s="860">
        <v>0</v>
      </c>
      <c r="FU10" s="955">
        <v>0</v>
      </c>
      <c r="FV10" s="16"/>
      <c r="FW10" s="266"/>
      <c r="FX10" s="12"/>
      <c r="FY10" s="192">
        <v>5</v>
      </c>
      <c r="FZ10" s="969" t="s">
        <v>199</v>
      </c>
      <c r="GA10" s="860">
        <v>2264.3409999999999</v>
      </c>
      <c r="GB10" s="860">
        <v>71321</v>
      </c>
      <c r="GC10" s="860">
        <v>90199.61</v>
      </c>
      <c r="GD10" s="801">
        <f t="shared" si="1"/>
        <v>163784.951</v>
      </c>
      <c r="GE10" s="860">
        <v>2264.3409999999994</v>
      </c>
      <c r="GF10" s="860">
        <v>71321</v>
      </c>
      <c r="GG10" s="860">
        <v>90199.61</v>
      </c>
      <c r="GH10" s="860">
        <f>SUM(GE10:GG10)</f>
        <v>163784.951</v>
      </c>
      <c r="GI10" s="202"/>
      <c r="GJ10" s="203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204"/>
      <c r="GW10" s="290"/>
      <c r="GX10" s="12"/>
      <c r="GY10" s="12"/>
      <c r="GZ10" s="192">
        <v>5</v>
      </c>
      <c r="HA10" s="886">
        <v>5</v>
      </c>
      <c r="HB10" s="886">
        <v>10</v>
      </c>
      <c r="HC10" s="886">
        <v>10</v>
      </c>
      <c r="HD10" s="887">
        <v>27582468</v>
      </c>
      <c r="HE10" s="887">
        <v>27845108</v>
      </c>
      <c r="HF10" s="800">
        <f t="shared" si="22"/>
        <v>1</v>
      </c>
      <c r="HG10" s="800">
        <f t="shared" si="23"/>
        <v>1.0095219905629909</v>
      </c>
      <c r="HH10" s="802">
        <v>1</v>
      </c>
      <c r="HI10" s="802">
        <v>0</v>
      </c>
      <c r="HJ10" s="802">
        <v>0</v>
      </c>
      <c r="HK10" s="12"/>
      <c r="HL10" s="13"/>
      <c r="HM10" s="12"/>
      <c r="HN10" s="267">
        <v>5</v>
      </c>
      <c r="HO10" s="892">
        <v>5</v>
      </c>
      <c r="HP10" s="799">
        <f t="shared" si="2"/>
        <v>1.0095219905629909</v>
      </c>
      <c r="HQ10" s="860">
        <v>18003.84</v>
      </c>
      <c r="HR10" s="801">
        <f t="shared" si="24"/>
        <v>18175.272394577598</v>
      </c>
      <c r="HS10" s="860">
        <v>2986640</v>
      </c>
      <c r="HT10" s="975">
        <v>3015599</v>
      </c>
      <c r="HU10" s="860">
        <v>1473505.2203000002</v>
      </c>
      <c r="HV10" s="975">
        <v>1517912</v>
      </c>
      <c r="HW10" s="860">
        <v>225000</v>
      </c>
      <c r="HX10" s="955">
        <v>225000</v>
      </c>
      <c r="HY10" s="860">
        <f t="shared" si="25"/>
        <v>1716509.0603000002</v>
      </c>
      <c r="HZ10" s="860">
        <f t="shared" si="25"/>
        <v>1761087.2723945775</v>
      </c>
      <c r="IA10" s="206"/>
      <c r="IB10" s="207"/>
      <c r="IC10" s="206"/>
      <c r="ID10" s="208">
        <v>5</v>
      </c>
      <c r="IE10" s="892">
        <v>5</v>
      </c>
      <c r="IF10" s="896">
        <f t="shared" si="3"/>
        <v>1</v>
      </c>
      <c r="IG10" s="897">
        <f t="shared" si="3"/>
        <v>1.0095219905629909</v>
      </c>
      <c r="IH10" s="955">
        <v>355051.0988864348</v>
      </c>
      <c r="II10" s="801">
        <f t="shared" si="64"/>
        <v>358431.89209941099</v>
      </c>
      <c r="IJ10" s="955">
        <v>26799.5</v>
      </c>
      <c r="IK10" s="801">
        <f t="shared" si="26"/>
        <v>27054.684586092873</v>
      </c>
      <c r="IL10" s="955">
        <v>435175.40111356514</v>
      </c>
      <c r="IM10" s="801">
        <f t="shared" ref="IM10:IM25" si="82">IL10*IF10</f>
        <v>435175.40111356514</v>
      </c>
      <c r="IN10" s="955">
        <v>413268.48496479425</v>
      </c>
      <c r="IO10" s="995">
        <v>413268.48496479425</v>
      </c>
      <c r="IP10" s="955">
        <v>91183.847999999984</v>
      </c>
      <c r="IQ10" s="801">
        <f t="shared" si="27"/>
        <v>92052.099740153179</v>
      </c>
      <c r="IR10" s="955">
        <v>53589.08</v>
      </c>
      <c r="IS10" s="801">
        <f t="shared" si="28"/>
        <v>54099.354714039364</v>
      </c>
      <c r="IT10" s="955">
        <v>37897.01</v>
      </c>
      <c r="IU10" s="801">
        <f t="shared" si="29"/>
        <v>38257.864971585572</v>
      </c>
      <c r="IV10" s="955">
        <v>219214.09419999996</v>
      </c>
      <c r="IW10" s="801">
        <f t="shared" si="30"/>
        <v>221301.44873624694</v>
      </c>
      <c r="IX10" s="860">
        <f t="shared" si="31"/>
        <v>1632178.5171647943</v>
      </c>
      <c r="IY10" s="860">
        <f t="shared" si="31"/>
        <v>1639641.2309258883</v>
      </c>
      <c r="IZ10" s="898">
        <f t="shared" si="4"/>
        <v>5.8884355231299095</v>
      </c>
      <c r="JA10" s="12"/>
      <c r="JB10" s="13"/>
      <c r="JC10" s="12"/>
      <c r="JD10" s="192">
        <v>5</v>
      </c>
      <c r="JE10" s="886">
        <v>5</v>
      </c>
      <c r="JF10" s="796">
        <f t="shared" si="5"/>
        <v>10</v>
      </c>
      <c r="JG10" s="796">
        <f t="shared" si="32"/>
        <v>10</v>
      </c>
      <c r="JH10" s="859">
        <f t="shared" si="6"/>
        <v>27845108</v>
      </c>
      <c r="JI10" s="859">
        <f t="shared" ref="JI10:JI25" si="83">JH10*$JK$26</f>
        <v>27698542.901255183</v>
      </c>
      <c r="JJ10" s="904">
        <f t="shared" si="33"/>
        <v>1</v>
      </c>
      <c r="JK10" s="904">
        <f t="shared" si="34"/>
        <v>0.99473641478622321</v>
      </c>
      <c r="JL10" s="904">
        <f t="shared" si="35"/>
        <v>1.0325841943047471</v>
      </c>
      <c r="JM10" s="886" t="s">
        <v>424</v>
      </c>
      <c r="JN10" s="209"/>
      <c r="JO10" s="210"/>
      <c r="JP10" s="209"/>
      <c r="JQ10" s="192">
        <v>5</v>
      </c>
      <c r="JR10" s="886">
        <v>5</v>
      </c>
      <c r="JS10" s="910" t="str">
        <f t="shared" si="7"/>
        <v>Q4</v>
      </c>
      <c r="JT10" s="911">
        <f t="shared" si="8"/>
        <v>1.0325841943047471</v>
      </c>
      <c r="JU10" s="860">
        <f t="shared" si="36"/>
        <v>18175.272394577598</v>
      </c>
      <c r="JV10" s="860">
        <f t="shared" si="37"/>
        <v>18767.499001824221</v>
      </c>
      <c r="JW10" s="860">
        <f t="shared" si="9"/>
        <v>3015599</v>
      </c>
      <c r="JX10" s="860">
        <f t="shared" si="38"/>
        <v>3056253.970570432</v>
      </c>
      <c r="JY10" s="860">
        <f t="shared" si="10"/>
        <v>1517912</v>
      </c>
      <c r="JZ10" s="860">
        <f t="shared" si="11"/>
        <v>1371546.284272251</v>
      </c>
      <c r="KA10" s="860">
        <f t="shared" si="39"/>
        <v>225000</v>
      </c>
      <c r="KB10" s="860">
        <f t="shared" si="40"/>
        <v>60277.482521187696</v>
      </c>
      <c r="KC10" s="860">
        <f t="shared" si="41"/>
        <v>1761087.2723945775</v>
      </c>
      <c r="KD10" s="860">
        <f t="shared" si="41"/>
        <v>1450591.265795263</v>
      </c>
      <c r="KE10" s="211"/>
      <c r="KF10" s="210"/>
      <c r="KG10" s="209"/>
      <c r="KH10" s="243">
        <f t="shared" si="65"/>
        <v>5</v>
      </c>
      <c r="KI10" s="891">
        <v>4</v>
      </c>
      <c r="KJ10" s="920">
        <f t="shared" si="66"/>
        <v>1</v>
      </c>
      <c r="KK10" s="920">
        <f t="shared" si="66"/>
        <v>0.99473641478622321</v>
      </c>
      <c r="KL10" s="683">
        <v>1.6546666699999999</v>
      </c>
      <c r="KM10" s="794">
        <f t="shared" si="67"/>
        <v>553429.8608900148</v>
      </c>
      <c r="KN10" s="683">
        <v>1.6546666699999999</v>
      </c>
      <c r="KO10" s="794">
        <f t="shared" si="42"/>
        <v>55724.835519124645</v>
      </c>
      <c r="KP10" s="683">
        <v>1.6546666699999999</v>
      </c>
      <c r="KQ10" s="794">
        <f t="shared" si="43"/>
        <v>303960.1316634625</v>
      </c>
      <c r="KR10" s="683">
        <v>1.6546666699999999</v>
      </c>
      <c r="KS10" s="794">
        <f t="shared" si="68"/>
        <v>480881.47060617793</v>
      </c>
      <c r="KT10" s="683">
        <v>1.6546666699999999</v>
      </c>
      <c r="KU10" s="794">
        <f t="shared" si="44"/>
        <v>41544.575476633741</v>
      </c>
      <c r="KV10" s="683">
        <v>1.6546666699999999</v>
      </c>
      <c r="KW10" s="794">
        <f t="shared" si="45"/>
        <v>52110.09928410624</v>
      </c>
      <c r="KX10" s="683">
        <v>1.6546666699999999</v>
      </c>
      <c r="KY10" s="794">
        <f t="shared" si="46"/>
        <v>61427.572797952242</v>
      </c>
      <c r="KZ10" s="683">
        <v>1.6546666699999999</v>
      </c>
      <c r="LA10" s="794">
        <f t="shared" si="47"/>
        <v>168402.37337988761</v>
      </c>
      <c r="LB10" s="650">
        <f t="shared" si="48"/>
        <v>1663826.6950404223</v>
      </c>
      <c r="LC10" s="650">
        <f t="shared" si="79"/>
        <v>1717480.9196173598</v>
      </c>
      <c r="LD10" s="16"/>
      <c r="LE10" s="220"/>
      <c r="LF10" s="12"/>
      <c r="LG10" s="192">
        <v>5</v>
      </c>
      <c r="LH10" s="921">
        <v>5</v>
      </c>
      <c r="LI10" s="860">
        <f t="shared" si="12"/>
        <v>1716509.0603000002</v>
      </c>
      <c r="LJ10" s="860">
        <f t="shared" si="12"/>
        <v>1761087.2723945775</v>
      </c>
      <c r="LK10" s="801">
        <f t="shared" si="13"/>
        <v>1450591.265795263</v>
      </c>
      <c r="LL10" s="860">
        <f t="shared" si="14"/>
        <v>1632178.5171647943</v>
      </c>
      <c r="LM10" s="860">
        <f t="shared" si="14"/>
        <v>1639641.2309258883</v>
      </c>
      <c r="LN10" s="801">
        <f t="shared" si="49"/>
        <v>1693067.6193844522</v>
      </c>
      <c r="LO10" s="860">
        <f t="shared" si="50"/>
        <v>84330.543135205982</v>
      </c>
      <c r="LP10" s="860">
        <f t="shared" si="50"/>
        <v>121446.04146868922</v>
      </c>
      <c r="LQ10" s="860">
        <f t="shared" si="50"/>
        <v>-242476.35358918924</v>
      </c>
      <c r="LR10" s="12"/>
      <c r="LS10" s="13"/>
      <c r="LT10" s="12"/>
      <c r="LU10" s="192">
        <f>LU9+1</f>
        <v>5</v>
      </c>
      <c r="LV10" s="291" t="s">
        <v>200</v>
      </c>
      <c r="LW10" s="292"/>
      <c r="LX10" s="12"/>
      <c r="LY10" s="13"/>
      <c r="LZ10" s="12"/>
      <c r="MA10" s="222">
        <f t="shared" si="80"/>
        <v>4</v>
      </c>
      <c r="MB10" s="812" t="s">
        <v>195</v>
      </c>
      <c r="MC10" s="650">
        <f>N10</f>
        <v>334355.1237527568</v>
      </c>
      <c r="MD10" s="747">
        <f t="shared" si="51"/>
        <v>1.5319663961118174E-2</v>
      </c>
      <c r="ME10" s="660"/>
      <c r="MF10" s="792">
        <f>MC10</f>
        <v>334355.1237527568</v>
      </c>
      <c r="MG10" s="747">
        <f t="shared" si="52"/>
        <v>1.5319663961118174E-2</v>
      </c>
      <c r="MH10" s="12"/>
      <c r="MI10" s="13"/>
      <c r="MJ10" s="12"/>
      <c r="MK10" s="222">
        <f t="shared" si="81"/>
        <v>4</v>
      </c>
      <c r="ML10" s="812" t="str">
        <f t="shared" si="53"/>
        <v>Misc Revenue</v>
      </c>
      <c r="MM10" s="979">
        <v>204693.58767693696</v>
      </c>
      <c r="MN10" s="650">
        <f>MC10</f>
        <v>334355.1237527568</v>
      </c>
      <c r="MO10" s="650">
        <f t="shared" si="70"/>
        <v>129661.53607581984</v>
      </c>
      <c r="MP10" s="723">
        <f t="shared" si="71"/>
        <v>0.63344210020130953</v>
      </c>
      <c r="MQ10" s="12"/>
      <c r="MR10" s="13"/>
      <c r="MS10" s="12"/>
    </row>
    <row r="11" spans="1:405" ht="16.5" x14ac:dyDescent="0.3">
      <c r="B11" s="143">
        <f>B10+1</f>
        <v>6</v>
      </c>
      <c r="C11" s="790"/>
      <c r="D11" s="660" t="s">
        <v>44</v>
      </c>
      <c r="E11" s="791"/>
      <c r="F11" s="792">
        <v>4505138.589094514</v>
      </c>
      <c r="G11" s="793">
        <f t="shared" si="15"/>
        <v>0.21653343067652001</v>
      </c>
      <c r="H11" s="792">
        <v>4505138.589094514</v>
      </c>
      <c r="I11" s="724">
        <f t="shared" si="16"/>
        <v>0.2153991318302679</v>
      </c>
      <c r="J11" s="794">
        <f t="shared" si="54"/>
        <v>0</v>
      </c>
      <c r="K11" s="792">
        <v>4786954.623376444</v>
      </c>
      <c r="L11" s="724">
        <f t="shared" si="17"/>
        <v>0.21817680802357298</v>
      </c>
      <c r="M11" s="794">
        <f t="shared" si="55"/>
        <v>281816.03428192995</v>
      </c>
      <c r="N11" s="792">
        <f>MC11</f>
        <v>4749598.8</v>
      </c>
      <c r="O11" s="724">
        <f t="shared" si="18"/>
        <v>0.21761968756290126</v>
      </c>
      <c r="P11" s="794">
        <f t="shared" si="56"/>
        <v>-37355.823376444168</v>
      </c>
      <c r="Q11" s="792">
        <f t="shared" si="57"/>
        <v>244460.21090548579</v>
      </c>
      <c r="R11" s="723">
        <f>O11/G11-1</f>
        <v>5.0165781929720765E-3</v>
      </c>
      <c r="V11" s="252">
        <f t="shared" si="59"/>
        <v>4</v>
      </c>
      <c r="W11" s="806" t="s">
        <v>179</v>
      </c>
      <c r="X11" s="800">
        <f>X10/$H$24*100</f>
        <v>-0.12223564297640627</v>
      </c>
      <c r="Y11" s="800">
        <f>Y10/$H$24*100</f>
        <v>5.5966983609485974E-2</v>
      </c>
      <c r="Z11" s="800">
        <f>Z10/$H$24*100</f>
        <v>0.3086358219179598</v>
      </c>
      <c r="AA11" s="800">
        <f>AA10/$H$24*100</f>
        <v>0.24236716255103952</v>
      </c>
      <c r="AB11" s="227"/>
      <c r="AC11" s="233"/>
      <c r="AF11" s="165">
        <f t="shared" si="73"/>
        <v>5</v>
      </c>
      <c r="AG11" s="812" t="s">
        <v>77</v>
      </c>
      <c r="AH11" s="813">
        <f>CT9</f>
        <v>1762701.0470566959</v>
      </c>
      <c r="AI11" s="813">
        <f>DE9</f>
        <v>86370.623008658004</v>
      </c>
      <c r="AJ11" s="682">
        <f>DO9</f>
        <v>570064.6364464286</v>
      </c>
      <c r="AN11" s="293">
        <v>6</v>
      </c>
      <c r="AO11" s="294"/>
      <c r="AP11" s="294"/>
      <c r="AQ11" s="833" t="s">
        <v>201</v>
      </c>
      <c r="AR11" s="834"/>
      <c r="AS11" s="835">
        <v>41149542.24840001</v>
      </c>
      <c r="AT11" s="836">
        <v>4.0127088112831091</v>
      </c>
      <c r="AU11" s="837"/>
      <c r="AV11" s="835">
        <v>43536109.595200002</v>
      </c>
      <c r="AW11" s="836">
        <v>4.0341900871360252</v>
      </c>
      <c r="AX11" s="838">
        <f>AW11/AT11-1</f>
        <v>5.3533104102929663E-3</v>
      </c>
      <c r="AY11" s="837"/>
      <c r="AZ11" s="835">
        <v>52475468.259999998</v>
      </c>
      <c r="BA11" s="836">
        <v>4.067434394135975</v>
      </c>
      <c r="BB11" s="838">
        <f>BA11/AW11-1</f>
        <v>8.2406397026151268E-3</v>
      </c>
      <c r="BC11" s="837"/>
      <c r="BD11" s="835">
        <v>60296489.323600002</v>
      </c>
      <c r="BE11" s="836">
        <v>4.1000982394224748</v>
      </c>
      <c r="BF11" s="838">
        <f>BE11/BA11-1</f>
        <v>8.0305770471900129E-3</v>
      </c>
      <c r="BG11" s="837"/>
      <c r="BH11" s="835">
        <v>61146922.538433343</v>
      </c>
      <c r="BI11" s="836">
        <v>4.0237731131168939</v>
      </c>
      <c r="BJ11" s="838">
        <f>BI11/BE11-1</f>
        <v>-1.8615438423331909E-2</v>
      </c>
      <c r="BK11" s="837"/>
      <c r="BL11" s="835">
        <v>67411697.978699997</v>
      </c>
      <c r="BM11" s="836">
        <v>4.0075180177968992</v>
      </c>
      <c r="BN11" s="838">
        <f>BM11/BI11-1</f>
        <v>-4.0397643860697885E-3</v>
      </c>
      <c r="BO11" s="837"/>
      <c r="BP11" s="835">
        <v>82733345.540000066</v>
      </c>
      <c r="BQ11" s="836">
        <v>4.4605216108185832</v>
      </c>
      <c r="BR11" s="838">
        <f>BQ11/BM11-1</f>
        <v>0.11303844200074709</v>
      </c>
      <c r="BS11" s="837"/>
      <c r="BT11" s="839">
        <v>96023263.244399965</v>
      </c>
      <c r="BU11" s="839">
        <v>4.8940141407676769</v>
      </c>
      <c r="BV11" s="839">
        <f>BU11/BQ11-1</f>
        <v>9.7184268516421479E-2</v>
      </c>
      <c r="BW11" s="295">
        <v>108271476.32980001</v>
      </c>
      <c r="BX11" s="296">
        <v>5.5933628300959608</v>
      </c>
      <c r="BY11" s="840">
        <f t="shared" si="60"/>
        <v>0.14289878803222744</v>
      </c>
      <c r="BZ11" s="840">
        <v>110405938.53159995</v>
      </c>
      <c r="CA11" s="840">
        <v>5.4123287588874414</v>
      </c>
      <c r="CB11" s="840">
        <f t="shared" si="61"/>
        <v>-3.2365873036956816E-2</v>
      </c>
      <c r="CC11" s="957">
        <v>104395539.42615813</v>
      </c>
      <c r="CD11" s="957">
        <v>5.0229071493781339</v>
      </c>
      <c r="CE11" s="723">
        <f t="shared" si="62"/>
        <v>-7.1950841653853459E-2</v>
      </c>
      <c r="CF11" s="841">
        <f>F12</f>
        <v>111375540.52939449</v>
      </c>
      <c r="CG11" s="840">
        <f>G12</f>
        <v>5.3531156494630183</v>
      </c>
      <c r="CH11" s="723">
        <f>CG11/CD11-1</f>
        <v>6.574051445999074E-2</v>
      </c>
      <c r="CI11" s="842">
        <f t="shared" si="63"/>
        <v>1.7066046046654391</v>
      </c>
      <c r="CJ11" s="723">
        <f t="shared" si="74"/>
        <v>5.6874941511309673E-2</v>
      </c>
      <c r="CY11" s="20"/>
      <c r="DD11" s="12"/>
      <c r="DI11" s="20"/>
      <c r="DN11" s="12"/>
      <c r="DT11" s="297">
        <v>6</v>
      </c>
      <c r="DU11" s="875" t="s">
        <v>202</v>
      </c>
      <c r="DV11" s="727"/>
      <c r="DW11" s="727"/>
      <c r="DX11" s="727"/>
      <c r="DY11" s="727"/>
      <c r="DZ11" s="967">
        <v>1329901.5614670862</v>
      </c>
      <c r="EA11" s="968">
        <v>2463632.9117169301</v>
      </c>
      <c r="EB11" s="968">
        <v>3594215.4151920588</v>
      </c>
      <c r="EC11" s="968">
        <v>7387749.8883760758</v>
      </c>
      <c r="EQ11" s="16"/>
      <c r="ER11" s="266"/>
      <c r="FG11" s="16"/>
      <c r="FH11" s="266"/>
      <c r="FJ11" s="222">
        <f t="shared" si="78"/>
        <v>6</v>
      </c>
      <c r="FK11" s="242"/>
      <c r="FL11" s="877" t="s">
        <v>203</v>
      </c>
      <c r="FM11" s="650">
        <v>49260.639999999992</v>
      </c>
      <c r="FN11" s="650">
        <v>32406.18</v>
      </c>
      <c r="FO11" s="650">
        <v>47183.22</v>
      </c>
      <c r="FP11" s="794">
        <f t="shared" si="21"/>
        <v>128850.03999999998</v>
      </c>
      <c r="FQ11" s="650">
        <v>49260.639999999992</v>
      </c>
      <c r="FR11" s="650">
        <v>32406.18</v>
      </c>
      <c r="FS11" s="650">
        <v>47183.22</v>
      </c>
      <c r="FT11" s="650">
        <v>128850.03999999998</v>
      </c>
      <c r="FU11" s="955">
        <v>128850.03999999998</v>
      </c>
      <c r="FV11" s="16"/>
      <c r="FW11" s="203"/>
      <c r="FY11" s="222">
        <v>6</v>
      </c>
      <c r="FZ11" s="969" t="s">
        <v>204</v>
      </c>
      <c r="GA11" s="650">
        <v>69215.070000000007</v>
      </c>
      <c r="GB11" s="650">
        <v>311010.10159999999</v>
      </c>
      <c r="GC11" s="650">
        <v>175816.9</v>
      </c>
      <c r="GD11" s="794">
        <f t="shared" si="1"/>
        <v>556042.07160000002</v>
      </c>
      <c r="GE11" s="650">
        <v>36325.46</v>
      </c>
      <c r="GF11" s="650">
        <v>74259.621599999984</v>
      </c>
      <c r="GG11" s="650">
        <v>30632.449999999986</v>
      </c>
      <c r="GH11" s="650">
        <f>SUM(GE11:GG11)</f>
        <v>141217.53159999996</v>
      </c>
      <c r="GI11" s="202"/>
      <c r="GJ11" s="203"/>
      <c r="GZ11" s="222">
        <v>6</v>
      </c>
      <c r="HA11" s="663">
        <v>6</v>
      </c>
      <c r="HB11" s="663">
        <v>10</v>
      </c>
      <c r="HC11" s="663">
        <v>10</v>
      </c>
      <c r="HD11" s="682">
        <v>31932119.545454547</v>
      </c>
      <c r="HE11" s="682">
        <v>32250691</v>
      </c>
      <c r="HF11" s="724">
        <f t="shared" si="22"/>
        <v>1</v>
      </c>
      <c r="HG11" s="724">
        <f t="shared" si="23"/>
        <v>1.0099765207909852</v>
      </c>
      <c r="HH11" s="723">
        <v>1</v>
      </c>
      <c r="HI11" s="723">
        <v>0</v>
      </c>
      <c r="HJ11" s="723">
        <v>0</v>
      </c>
      <c r="HN11" s="243">
        <v>6</v>
      </c>
      <c r="HO11" s="891">
        <v>6</v>
      </c>
      <c r="HP11" s="793">
        <f t="shared" si="2"/>
        <v>1.0099765207909852</v>
      </c>
      <c r="HQ11" s="650">
        <v>0</v>
      </c>
      <c r="HR11" s="794">
        <f t="shared" si="24"/>
        <v>0</v>
      </c>
      <c r="HS11" s="650">
        <v>3465446.1818181816</v>
      </c>
      <c r="HT11" s="975">
        <v>3489174</v>
      </c>
      <c r="HU11" s="650">
        <v>1496716.5628727272</v>
      </c>
      <c r="HV11" s="975">
        <v>1721487</v>
      </c>
      <c r="HW11" s="650">
        <v>225000</v>
      </c>
      <c r="HX11" s="955">
        <v>225000</v>
      </c>
      <c r="HY11" s="650">
        <f t="shared" si="25"/>
        <v>1721716.5628727272</v>
      </c>
      <c r="HZ11" s="650">
        <f t="shared" si="25"/>
        <v>1946487</v>
      </c>
      <c r="IA11" s="206"/>
      <c r="IB11" s="207"/>
      <c r="IC11" s="206"/>
      <c r="ID11" s="244">
        <v>6</v>
      </c>
      <c r="IE11" s="891">
        <v>6</v>
      </c>
      <c r="IF11" s="899">
        <f t="shared" si="3"/>
        <v>1</v>
      </c>
      <c r="IG11" s="900">
        <f t="shared" si="3"/>
        <v>1.0099765207909852</v>
      </c>
      <c r="IH11" s="955">
        <v>643151.33366376476</v>
      </c>
      <c r="II11" s="794">
        <f t="shared" si="64"/>
        <v>649567.74631581118</v>
      </c>
      <c r="IJ11" s="955">
        <v>48283.804000000004</v>
      </c>
      <c r="IK11" s="794">
        <f t="shared" si="26"/>
        <v>48765.508374473859</v>
      </c>
      <c r="IL11" s="955">
        <v>378134.38324532611</v>
      </c>
      <c r="IM11" s="794">
        <f t="shared" si="82"/>
        <v>378134.38324532611</v>
      </c>
      <c r="IN11" s="955">
        <v>592148.52086575574</v>
      </c>
      <c r="IO11" s="995">
        <v>592148.52086575574</v>
      </c>
      <c r="IP11" s="955">
        <v>65904.153500000029</v>
      </c>
      <c r="IQ11" s="794">
        <f t="shared" si="27"/>
        <v>66561.647657605063</v>
      </c>
      <c r="IR11" s="955">
        <v>59879.82918181819</v>
      </c>
      <c r="IS11" s="794">
        <f t="shared" si="28"/>
        <v>60477.221542611245</v>
      </c>
      <c r="IT11" s="955">
        <v>35609.333636363634</v>
      </c>
      <c r="IU11" s="794">
        <f t="shared" si="29"/>
        <v>35964.590893739944</v>
      </c>
      <c r="IV11" s="955">
        <v>189514.22679545454</v>
      </c>
      <c r="IW11" s="794">
        <f t="shared" si="30"/>
        <v>191404.91941926687</v>
      </c>
      <c r="IX11" s="650">
        <f t="shared" si="31"/>
        <v>2012625.5848884832</v>
      </c>
      <c r="IY11" s="650">
        <f t="shared" si="31"/>
        <v>2023024.5383145902</v>
      </c>
      <c r="IZ11" s="683">
        <f t="shared" si="4"/>
        <v>6.2728099013896799</v>
      </c>
      <c r="JD11" s="222">
        <v>6</v>
      </c>
      <c r="JE11" s="663">
        <v>6</v>
      </c>
      <c r="JF11" s="660">
        <f t="shared" si="5"/>
        <v>10</v>
      </c>
      <c r="JG11" s="660">
        <f t="shared" si="32"/>
        <v>10</v>
      </c>
      <c r="JH11" s="905">
        <f t="shared" si="6"/>
        <v>32250691</v>
      </c>
      <c r="JI11" s="905">
        <f t="shared" si="83"/>
        <v>32080936.739718314</v>
      </c>
      <c r="JJ11" s="906">
        <f t="shared" si="33"/>
        <v>1</v>
      </c>
      <c r="JK11" s="906">
        <f t="shared" si="34"/>
        <v>0.99473641478622321</v>
      </c>
      <c r="JL11" s="906">
        <f t="shared" si="35"/>
        <v>1.0411874244912627</v>
      </c>
      <c r="JM11" s="663" t="s">
        <v>425</v>
      </c>
      <c r="JN11" s="209"/>
      <c r="JO11" s="210"/>
      <c r="JP11" s="209"/>
      <c r="JQ11" s="222">
        <v>6</v>
      </c>
      <c r="JR11" s="663">
        <v>6</v>
      </c>
      <c r="JS11" s="914" t="str">
        <f t="shared" si="7"/>
        <v>Q2</v>
      </c>
      <c r="JT11" s="913">
        <f t="shared" si="8"/>
        <v>1.0411874244912627</v>
      </c>
      <c r="JU11" s="671">
        <f t="shared" si="36"/>
        <v>0</v>
      </c>
      <c r="JV11" s="671">
        <f t="shared" si="37"/>
        <v>0</v>
      </c>
      <c r="JW11" s="671">
        <f t="shared" si="9"/>
        <v>3489174</v>
      </c>
      <c r="JX11" s="671">
        <f t="shared" si="38"/>
        <v>3539806.7920005945</v>
      </c>
      <c r="JY11" s="671">
        <f t="shared" si="10"/>
        <v>1721487</v>
      </c>
      <c r="JZ11" s="671">
        <f t="shared" si="11"/>
        <v>1588548.8900334854</v>
      </c>
      <c r="KA11" s="671">
        <f t="shared" si="39"/>
        <v>225000</v>
      </c>
      <c r="KB11" s="671">
        <f t="shared" si="40"/>
        <v>69814.434300227003</v>
      </c>
      <c r="KC11" s="671">
        <f t="shared" si="41"/>
        <v>1946487</v>
      </c>
      <c r="KD11" s="671">
        <f t="shared" si="41"/>
        <v>1658363.3243337125</v>
      </c>
      <c r="KE11" s="211"/>
      <c r="KF11" s="210"/>
      <c r="KG11" s="209"/>
      <c r="KH11" s="245">
        <f t="shared" si="65"/>
        <v>6</v>
      </c>
      <c r="KI11" s="917">
        <v>5</v>
      </c>
      <c r="KJ11" s="918">
        <f t="shared" si="66"/>
        <v>1</v>
      </c>
      <c r="KK11" s="918">
        <f t="shared" si="66"/>
        <v>0.99473641478622321</v>
      </c>
      <c r="KL11" s="898">
        <v>1.6546666699999999</v>
      </c>
      <c r="KM11" s="801">
        <f t="shared" si="67"/>
        <v>369100.4756918783</v>
      </c>
      <c r="KN11" s="898">
        <v>1.6546666699999999</v>
      </c>
      <c r="KO11" s="801">
        <f t="shared" si="42"/>
        <v>27859.956579006153</v>
      </c>
      <c r="KP11" s="898">
        <v>1.6546666699999999</v>
      </c>
      <c r="KQ11" s="801">
        <f t="shared" si="43"/>
        <v>450499.46725239768</v>
      </c>
      <c r="KR11" s="898">
        <v>1.6546666699999999</v>
      </c>
      <c r="KS11" s="801">
        <f t="shared" si="68"/>
        <v>427821.13104839704</v>
      </c>
      <c r="KT11" s="898">
        <v>1.6546666699999999</v>
      </c>
      <c r="KU11" s="801">
        <f t="shared" si="44"/>
        <v>94791.994103871213</v>
      </c>
      <c r="KV11" s="898">
        <v>1.6546666699999999</v>
      </c>
      <c r="KW11" s="801">
        <f t="shared" si="45"/>
        <v>55709.600623477563</v>
      </c>
      <c r="KX11" s="898">
        <v>1.6546666699999999</v>
      </c>
      <c r="KY11" s="801">
        <f t="shared" si="46"/>
        <v>39396.595200438882</v>
      </c>
      <c r="KZ11" s="898">
        <v>1.6546666699999999</v>
      </c>
      <c r="LA11" s="919">
        <f t="shared" si="47"/>
        <v>227888.39888498528</v>
      </c>
      <c r="LB11" s="646">
        <f t="shared" si="48"/>
        <v>1639641.2309258883</v>
      </c>
      <c r="LC11" s="646">
        <f t="shared" si="79"/>
        <v>1693067.6193844522</v>
      </c>
      <c r="LD11" s="16"/>
      <c r="LE11" s="220"/>
      <c r="LG11" s="222">
        <v>6</v>
      </c>
      <c r="LH11" s="922">
        <v>6</v>
      </c>
      <c r="LI11" s="650">
        <f t="shared" si="12"/>
        <v>1721716.5628727272</v>
      </c>
      <c r="LJ11" s="650">
        <f t="shared" si="12"/>
        <v>1946487</v>
      </c>
      <c r="LK11" s="794">
        <f t="shared" si="13"/>
        <v>1658363.3243337125</v>
      </c>
      <c r="LL11" s="650">
        <f t="shared" si="14"/>
        <v>2012625.5848884832</v>
      </c>
      <c r="LM11" s="650">
        <f t="shared" si="14"/>
        <v>2023024.5383145902</v>
      </c>
      <c r="LN11" s="794">
        <f t="shared" si="49"/>
        <v>2106347.708730394</v>
      </c>
      <c r="LO11" s="650">
        <f t="shared" si="50"/>
        <v>-290909.022015756</v>
      </c>
      <c r="LP11" s="650">
        <f>LJ11-LM11</f>
        <v>-76537.538314590231</v>
      </c>
      <c r="LQ11" s="650">
        <f t="shared" si="50"/>
        <v>-447984.38439668156</v>
      </c>
      <c r="LU11" s="222">
        <f>LU10+1</f>
        <v>6</v>
      </c>
      <c r="LV11" s="812" t="s">
        <v>205</v>
      </c>
      <c r="LW11" s="925">
        <v>5.3900000000000003E-2</v>
      </c>
      <c r="MA11" s="192">
        <f>MA10+1</f>
        <v>5</v>
      </c>
      <c r="MB11" s="814" t="s">
        <v>44</v>
      </c>
      <c r="MC11" s="860">
        <f>'Actuals Phase II Schedules'!II4*'Actuals Phase II Schedules'!IH4</f>
        <v>4749598.8</v>
      </c>
      <c r="MD11" s="928">
        <f t="shared" si="51"/>
        <v>0.21761968756290126</v>
      </c>
      <c r="ME11" s="796"/>
      <c r="MF11" s="798">
        <f>MC11</f>
        <v>4749598.8</v>
      </c>
      <c r="MG11" s="928">
        <f t="shared" si="52"/>
        <v>0.21761968756290126</v>
      </c>
      <c r="MK11" s="192">
        <f t="shared" si="81"/>
        <v>5</v>
      </c>
      <c r="ML11" s="814" t="str">
        <f t="shared" si="53"/>
        <v>Depot Viability Handling Commissions</v>
      </c>
      <c r="MM11" s="979">
        <v>4758928.0499999989</v>
      </c>
      <c r="MN11" s="860">
        <f>MF11</f>
        <v>4749598.8</v>
      </c>
      <c r="MO11" s="860">
        <f t="shared" si="70"/>
        <v>-9329.2499999990687</v>
      </c>
      <c r="MP11" s="802">
        <f t="shared" si="71"/>
        <v>-1.9603679446254857E-3</v>
      </c>
    </row>
    <row r="12" spans="1:405" s="29" customFormat="1" ht="17.100000000000001" customHeight="1" thickBot="1" x14ac:dyDescent="0.35">
      <c r="B12" s="181">
        <f>B11+1</f>
        <v>7</v>
      </c>
      <c r="C12" s="803" t="s">
        <v>206</v>
      </c>
      <c r="D12" s="804"/>
      <c r="E12" s="797"/>
      <c r="F12" s="798">
        <f>F9+F10+F11</f>
        <v>111375540.52939449</v>
      </c>
      <c r="G12" s="799">
        <f t="shared" si="15"/>
        <v>5.3531156494630183</v>
      </c>
      <c r="H12" s="798">
        <f>H9+H10+H11</f>
        <v>106354818.26747276</v>
      </c>
      <c r="I12" s="800">
        <f t="shared" si="16"/>
        <v>5.0850234832362764</v>
      </c>
      <c r="J12" s="801">
        <f t="shared" si="54"/>
        <v>-5020722.2619217336</v>
      </c>
      <c r="K12" s="798">
        <f>K9+K10+K11</f>
        <v>129005962.21597157</v>
      </c>
      <c r="L12" s="800">
        <f t="shared" si="17"/>
        <v>5.8797526333010612</v>
      </c>
      <c r="M12" s="801">
        <f t="shared" si="55"/>
        <v>22651143.948498815</v>
      </c>
      <c r="N12" s="798">
        <f>N9+N10+N11</f>
        <v>113155729.87481624</v>
      </c>
      <c r="O12" s="800">
        <f t="shared" si="18"/>
        <v>5.1846304536942283</v>
      </c>
      <c r="P12" s="801">
        <f t="shared" si="56"/>
        <v>-15850232.341155335</v>
      </c>
      <c r="Q12" s="798">
        <f t="shared" si="57"/>
        <v>1780189.3454217464</v>
      </c>
      <c r="R12" s="802">
        <f t="shared" si="58"/>
        <v>-3.1474230485883714E-2</v>
      </c>
      <c r="S12" s="12"/>
      <c r="T12" s="13"/>
      <c r="U12" s="12"/>
      <c r="V12" s="165">
        <f t="shared" si="59"/>
        <v>5</v>
      </c>
      <c r="W12" s="808" t="s">
        <v>132</v>
      </c>
      <c r="X12" s="650">
        <f>X10-X7</f>
        <v>-2643133.7078647274</v>
      </c>
      <c r="Y12" s="650">
        <f t="shared" ref="Y12:AA12" si="84">Y10-Y7</f>
        <v>-2061160.729802558</v>
      </c>
      <c r="Z12" s="650">
        <f t="shared" si="84"/>
        <v>2614500.5078417864</v>
      </c>
      <c r="AA12" s="650">
        <f t="shared" si="84"/>
        <v>-2089793.9298254987</v>
      </c>
      <c r="AB12" s="230"/>
      <c r="AC12" s="234"/>
      <c r="AD12" s="13"/>
      <c r="AE12" s="12"/>
      <c r="AF12" s="252">
        <f t="shared" si="73"/>
        <v>6</v>
      </c>
      <c r="AG12" s="814" t="s">
        <v>180</v>
      </c>
      <c r="AH12" s="815">
        <f>AH11*3600/$H$24</f>
        <v>3.0340096397324476</v>
      </c>
      <c r="AI12" s="815">
        <f>AI11*3600/$H$24</f>
        <v>0.14866349755423783</v>
      </c>
      <c r="AJ12" s="815">
        <f>AJ11*3600/$H$24</f>
        <v>0.98121096889176984</v>
      </c>
      <c r="AK12" s="12"/>
      <c r="AL12" s="299"/>
      <c r="AM12" s="12"/>
      <c r="AN12" s="192">
        <v>7</v>
      </c>
      <c r="AO12" s="193"/>
      <c r="AP12" s="191" t="s">
        <v>207</v>
      </c>
      <c r="AQ12" s="7"/>
      <c r="AR12" s="195"/>
      <c r="AS12" s="255"/>
      <c r="AT12" s="256"/>
      <c r="AU12" s="257"/>
      <c r="AV12" s="255"/>
      <c r="AW12" s="256"/>
      <c r="AX12" s="250"/>
      <c r="AY12" s="257"/>
      <c r="AZ12" s="255"/>
      <c r="BA12" s="300"/>
      <c r="BB12" s="250"/>
      <c r="BC12" s="257"/>
      <c r="BD12" s="255"/>
      <c r="BE12" s="300"/>
      <c r="BF12" s="250"/>
      <c r="BG12" s="257"/>
      <c r="BH12" s="255"/>
      <c r="BI12" s="300"/>
      <c r="BJ12" s="250"/>
      <c r="BK12" s="257"/>
      <c r="BL12" s="255"/>
      <c r="BM12" s="300"/>
      <c r="BN12" s="250"/>
      <c r="BO12" s="257"/>
      <c r="BP12" s="255"/>
      <c r="BQ12" s="300"/>
      <c r="BR12" s="250"/>
      <c r="BS12" s="257"/>
      <c r="BW12" s="258"/>
      <c r="BX12" s="259"/>
      <c r="BY12" s="260"/>
      <c r="BZ12" s="260"/>
      <c r="CA12" s="260"/>
      <c r="CB12" s="260"/>
      <c r="CC12" s="958"/>
      <c r="CD12" s="958"/>
      <c r="CE12" s="301"/>
      <c r="CF12" s="247"/>
      <c r="CG12" s="260"/>
      <c r="CH12" s="301"/>
      <c r="CI12" s="262"/>
      <c r="CJ12" s="301"/>
      <c r="CK12" s="12"/>
      <c r="CL12" s="13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232"/>
      <c r="CY12" s="20"/>
      <c r="CZ12" s="12"/>
      <c r="DA12" s="12"/>
      <c r="DB12" s="12"/>
      <c r="DC12" s="12"/>
      <c r="DD12" s="12"/>
      <c r="DE12" s="12"/>
      <c r="DF12" s="12"/>
      <c r="DG12" s="12"/>
      <c r="DH12" s="12"/>
      <c r="DI12" s="20"/>
      <c r="DJ12" s="12"/>
      <c r="DK12" s="12"/>
      <c r="DL12" s="12"/>
      <c r="DM12" s="12"/>
      <c r="DN12" s="12"/>
      <c r="DO12" s="12"/>
      <c r="DP12" s="12"/>
      <c r="DQ12" s="12"/>
      <c r="DR12" s="13"/>
      <c r="DS12" s="12"/>
      <c r="DT12" s="302">
        <v>7</v>
      </c>
      <c r="DU12" s="303" t="s">
        <v>71</v>
      </c>
      <c r="DV12" s="304">
        <f t="shared" ref="DV12:EC12" si="85">SUM(DV7:DV11)</f>
        <v>3987595.5110999998</v>
      </c>
      <c r="DW12" s="304">
        <f t="shared" si="85"/>
        <v>7161030.7631999999</v>
      </c>
      <c r="DX12" s="304">
        <f t="shared" si="85"/>
        <v>14640317.082199998</v>
      </c>
      <c r="DY12" s="305">
        <f t="shared" si="85"/>
        <v>25788943.3565</v>
      </c>
      <c r="DZ12" s="304">
        <f t="shared" si="85"/>
        <v>4518233.5472997567</v>
      </c>
      <c r="EA12" s="304">
        <f t="shared" si="85"/>
        <v>7797060.9032192249</v>
      </c>
      <c r="EB12" s="304">
        <f t="shared" si="85"/>
        <v>10788534.636658216</v>
      </c>
      <c r="EC12" s="304">
        <f t="shared" si="85"/>
        <v>23103829.087177198</v>
      </c>
      <c r="ED12" s="12"/>
      <c r="EE12" s="13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6"/>
      <c r="ER12" s="266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6"/>
      <c r="FH12" s="266"/>
      <c r="FI12" s="12"/>
      <c r="FJ12" s="192">
        <f t="shared" si="78"/>
        <v>7</v>
      </c>
      <c r="FK12" s="265"/>
      <c r="FL12" s="878" t="s">
        <v>208</v>
      </c>
      <c r="FM12" s="860">
        <v>156010.497</v>
      </c>
      <c r="FN12" s="860">
        <v>388247.39</v>
      </c>
      <c r="FO12" s="860">
        <v>395682.24947999994</v>
      </c>
      <c r="FP12" s="801">
        <f t="shared" si="21"/>
        <v>939940.13647999999</v>
      </c>
      <c r="FQ12" s="860">
        <v>156830.33790909091</v>
      </c>
      <c r="FR12" s="860">
        <v>388247.39</v>
      </c>
      <c r="FS12" s="860">
        <v>400882.74947999994</v>
      </c>
      <c r="FT12" s="860">
        <v>945960.47738909081</v>
      </c>
      <c r="FU12" s="955">
        <v>945960.47738909081</v>
      </c>
      <c r="FV12" s="16"/>
      <c r="FW12" s="266"/>
      <c r="FX12" s="12"/>
      <c r="FY12" s="302">
        <v>7</v>
      </c>
      <c r="FZ12" s="306" t="s">
        <v>88</v>
      </c>
      <c r="GA12" s="304">
        <f t="shared" ref="GA12:GH12" si="86">SUM(GA6:GA11)</f>
        <v>203809.78099999999</v>
      </c>
      <c r="GB12" s="304">
        <f t="shared" si="86"/>
        <v>466245.03159999999</v>
      </c>
      <c r="GC12" s="304">
        <f t="shared" si="86"/>
        <v>446450.19000000006</v>
      </c>
      <c r="GD12" s="305">
        <f t="shared" si="86"/>
        <v>1116505.0026</v>
      </c>
      <c r="GE12" s="304">
        <f t="shared" si="86"/>
        <v>39789.800999999999</v>
      </c>
      <c r="GF12" s="304">
        <f t="shared" si="86"/>
        <v>148024.76159999997</v>
      </c>
      <c r="GG12" s="304">
        <f t="shared" si="86"/>
        <v>126816.28999999998</v>
      </c>
      <c r="GH12" s="305">
        <f t="shared" si="86"/>
        <v>314630.85259999998</v>
      </c>
      <c r="GI12" s="16"/>
      <c r="GJ12" s="203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3"/>
      <c r="GX12" s="12"/>
      <c r="GY12" s="12"/>
      <c r="GZ12" s="192">
        <v>7</v>
      </c>
      <c r="HA12" s="886">
        <v>7</v>
      </c>
      <c r="HB12" s="886">
        <v>10</v>
      </c>
      <c r="HC12" s="886">
        <v>12</v>
      </c>
      <c r="HD12" s="887">
        <v>38020664</v>
      </c>
      <c r="HE12" s="887">
        <v>45023413</v>
      </c>
      <c r="HF12" s="800">
        <f t="shared" si="22"/>
        <v>1.2</v>
      </c>
      <c r="HG12" s="800">
        <f t="shared" si="23"/>
        <v>1.1841827118011405</v>
      </c>
      <c r="HH12" s="802">
        <v>1</v>
      </c>
      <c r="HI12" s="802">
        <v>0</v>
      </c>
      <c r="HJ12" s="802">
        <v>0</v>
      </c>
      <c r="HK12" s="12"/>
      <c r="HL12" s="13"/>
      <c r="HM12" s="12"/>
      <c r="HN12" s="267">
        <v>7</v>
      </c>
      <c r="HO12" s="892">
        <v>7</v>
      </c>
      <c r="HP12" s="799">
        <f t="shared" si="2"/>
        <v>1.1841827118011405</v>
      </c>
      <c r="HQ12" s="860">
        <v>2625.0909999999994</v>
      </c>
      <c r="HR12" s="801">
        <f t="shared" si="24"/>
        <v>3108.587379104767</v>
      </c>
      <c r="HS12" s="860">
        <v>4131025</v>
      </c>
      <c r="HT12" s="975">
        <v>4886341</v>
      </c>
      <c r="HU12" s="860">
        <v>1932272.8392</v>
      </c>
      <c r="HV12" s="975">
        <v>2550044</v>
      </c>
      <c r="HW12" s="860">
        <v>225000</v>
      </c>
      <c r="HX12" s="955">
        <v>270000</v>
      </c>
      <c r="HY12" s="860">
        <f t="shared" si="25"/>
        <v>2159897.9302000003</v>
      </c>
      <c r="HZ12" s="860">
        <f t="shared" si="25"/>
        <v>2823152.5873791049</v>
      </c>
      <c r="IA12" s="206"/>
      <c r="IB12" s="207"/>
      <c r="IC12" s="206"/>
      <c r="ID12" s="208">
        <v>7</v>
      </c>
      <c r="IE12" s="892">
        <v>7</v>
      </c>
      <c r="IF12" s="896">
        <f t="shared" si="3"/>
        <v>1.2</v>
      </c>
      <c r="IG12" s="897">
        <f t="shared" si="3"/>
        <v>1.1841827118011405</v>
      </c>
      <c r="IH12" s="955">
        <v>713038.95958031644</v>
      </c>
      <c r="II12" s="801">
        <f t="shared" si="64"/>
        <v>844368.40877568291</v>
      </c>
      <c r="IJ12" s="955">
        <v>87337.3</v>
      </c>
      <c r="IK12" s="801">
        <f t="shared" si="26"/>
        <v>103423.32075538975</v>
      </c>
      <c r="IL12" s="955">
        <v>425618.89441968338</v>
      </c>
      <c r="IM12" s="801">
        <f t="shared" si="82"/>
        <v>510742.67330362002</v>
      </c>
      <c r="IN12" s="955">
        <v>522406.19132917118</v>
      </c>
      <c r="IO12" s="995">
        <v>674140.55331500247</v>
      </c>
      <c r="IP12" s="955">
        <v>178194.31999999995</v>
      </c>
      <c r="IQ12" s="801">
        <f t="shared" si="27"/>
        <v>211014.63308516017</v>
      </c>
      <c r="IR12" s="955">
        <v>66471.787500000006</v>
      </c>
      <c r="IS12" s="801">
        <f t="shared" si="28"/>
        <v>78714.741580019167</v>
      </c>
      <c r="IT12" s="955">
        <v>59926.53</v>
      </c>
      <c r="IU12" s="801">
        <f t="shared" si="29"/>
        <v>70963.960804232396</v>
      </c>
      <c r="IV12" s="955">
        <v>219294.0816</v>
      </c>
      <c r="IW12" s="801">
        <f t="shared" si="30"/>
        <v>259684.2602310286</v>
      </c>
      <c r="IX12" s="860">
        <f t="shared" si="31"/>
        <v>2272288.0644291709</v>
      </c>
      <c r="IY12" s="860">
        <f t="shared" si="31"/>
        <v>2753052.5518501359</v>
      </c>
      <c r="IZ12" s="898">
        <f t="shared" si="4"/>
        <v>6.1147131423602552</v>
      </c>
      <c r="JA12" s="12"/>
      <c r="JB12" s="13"/>
      <c r="JC12" s="12"/>
      <c r="JD12" s="192">
        <v>7</v>
      </c>
      <c r="JE12" s="886">
        <v>7</v>
      </c>
      <c r="JF12" s="796">
        <f t="shared" si="5"/>
        <v>12</v>
      </c>
      <c r="JG12" s="796">
        <f t="shared" si="32"/>
        <v>12</v>
      </c>
      <c r="JH12" s="859">
        <f t="shared" si="6"/>
        <v>45023413</v>
      </c>
      <c r="JI12" s="859">
        <f t="shared" si="83"/>
        <v>44786428.429059431</v>
      </c>
      <c r="JJ12" s="904">
        <f t="shared" si="33"/>
        <v>1</v>
      </c>
      <c r="JK12" s="904">
        <f t="shared" si="34"/>
        <v>0.9947364147862231</v>
      </c>
      <c r="JL12" s="904">
        <f t="shared" si="35"/>
        <v>1.0271437202977871</v>
      </c>
      <c r="JM12" s="886" t="s">
        <v>238</v>
      </c>
      <c r="JN12" s="209"/>
      <c r="JO12" s="210"/>
      <c r="JP12" s="209"/>
      <c r="JQ12" s="192">
        <v>7</v>
      </c>
      <c r="JR12" s="886">
        <v>7</v>
      </c>
      <c r="JS12" s="910" t="str">
        <f t="shared" si="7"/>
        <v>Q3</v>
      </c>
      <c r="JT12" s="911">
        <f t="shared" si="8"/>
        <v>1.0271437202977871</v>
      </c>
      <c r="JU12" s="860">
        <f t="shared" si="36"/>
        <v>3108.587379104767</v>
      </c>
      <c r="JV12" s="860">
        <f t="shared" si="37"/>
        <v>3192.966005444418</v>
      </c>
      <c r="JW12" s="860">
        <f t="shared" si="9"/>
        <v>4886341</v>
      </c>
      <c r="JX12" s="860">
        <f t="shared" si="38"/>
        <v>4941729.2527607502</v>
      </c>
      <c r="JY12" s="860">
        <f t="shared" si="10"/>
        <v>2550044</v>
      </c>
      <c r="JZ12" s="860">
        <f t="shared" si="11"/>
        <v>2217685.5915015647</v>
      </c>
      <c r="KA12" s="860">
        <f t="shared" si="39"/>
        <v>270000</v>
      </c>
      <c r="KB12" s="860">
        <f t="shared" si="40"/>
        <v>97464.085617901525</v>
      </c>
      <c r="KC12" s="860">
        <f t="shared" si="41"/>
        <v>2823152.5873791049</v>
      </c>
      <c r="KD12" s="860">
        <f t="shared" si="41"/>
        <v>2318342.643124911</v>
      </c>
      <c r="KE12" s="211"/>
      <c r="KF12" s="210"/>
      <c r="KG12" s="209"/>
      <c r="KH12" s="243">
        <f t="shared" si="65"/>
        <v>7</v>
      </c>
      <c r="KI12" s="891">
        <v>6</v>
      </c>
      <c r="KJ12" s="920">
        <f t="shared" si="66"/>
        <v>1</v>
      </c>
      <c r="KK12" s="920">
        <f t="shared" si="66"/>
        <v>0.99473641478622321</v>
      </c>
      <c r="KL12" s="683">
        <v>1.6406666700000001</v>
      </c>
      <c r="KM12" s="794">
        <f t="shared" si="67"/>
        <v>674609.69121508289</v>
      </c>
      <c r="KN12" s="683">
        <v>1.6406666700000001</v>
      </c>
      <c r="KO12" s="794">
        <f t="shared" si="42"/>
        <v>50645.501924992335</v>
      </c>
      <c r="KP12" s="683">
        <v>1.6406666700000001</v>
      </c>
      <c r="KQ12" s="794">
        <f t="shared" si="43"/>
        <v>394790.12032423163</v>
      </c>
      <c r="KR12" s="683">
        <v>1.6406666700000001</v>
      </c>
      <c r="KS12" s="794">
        <f t="shared" si="68"/>
        <v>618230.96803852217</v>
      </c>
      <c r="KT12" s="683">
        <v>1.6406666700000001</v>
      </c>
      <c r="KU12" s="794">
        <f t="shared" si="44"/>
        <v>69127.712740885996</v>
      </c>
      <c r="KV12" s="683">
        <v>1.6406666700000001</v>
      </c>
      <c r="KW12" s="794">
        <f t="shared" si="45"/>
        <v>62808.721618039577</v>
      </c>
      <c r="KX12" s="683">
        <v>1.6406666700000001</v>
      </c>
      <c r="KY12" s="794">
        <f t="shared" si="46"/>
        <v>37351.087234720544</v>
      </c>
      <c r="KZ12" s="683">
        <v>1.6406666700000001</v>
      </c>
      <c r="LA12" s="794">
        <f t="shared" si="47"/>
        <v>198783.90563391874</v>
      </c>
      <c r="LB12" s="650">
        <f t="shared" si="48"/>
        <v>2023024.5383145902</v>
      </c>
      <c r="LC12" s="650">
        <f t="shared" si="79"/>
        <v>2106347.708730394</v>
      </c>
      <c r="LD12" s="16"/>
      <c r="LE12" s="220"/>
      <c r="LF12" s="12"/>
      <c r="LG12" s="192">
        <v>7</v>
      </c>
      <c r="LH12" s="921">
        <v>7</v>
      </c>
      <c r="LI12" s="860">
        <f t="shared" si="12"/>
        <v>2159897.9302000003</v>
      </c>
      <c r="LJ12" s="860">
        <f t="shared" si="12"/>
        <v>2823152.5873791049</v>
      </c>
      <c r="LK12" s="801">
        <f t="shared" si="13"/>
        <v>2318342.643124911</v>
      </c>
      <c r="LL12" s="860">
        <f t="shared" si="14"/>
        <v>2272288.0644291709</v>
      </c>
      <c r="LM12" s="860">
        <f t="shared" si="14"/>
        <v>2753052.5518501359</v>
      </c>
      <c r="LN12" s="801">
        <f t="shared" si="49"/>
        <v>2827780.6402826649</v>
      </c>
      <c r="LO12" s="860">
        <f t="shared" si="50"/>
        <v>-112390.13422917062</v>
      </c>
      <c r="LP12" s="860">
        <f>LJ12-LM12</f>
        <v>70100.03552896902</v>
      </c>
      <c r="LQ12" s="860">
        <f t="shared" si="50"/>
        <v>-509437.99715775391</v>
      </c>
      <c r="LR12" s="12"/>
      <c r="LS12" s="13"/>
      <c r="LT12" s="12"/>
      <c r="LU12" s="192">
        <f t="shared" si="69"/>
        <v>7</v>
      </c>
      <c r="LV12" s="926" t="s">
        <v>209</v>
      </c>
      <c r="LW12" s="924">
        <f>LW9/(1-LW11)</f>
        <v>370316698.86664939</v>
      </c>
      <c r="LX12" s="12"/>
      <c r="LY12" s="13"/>
      <c r="LZ12" s="12"/>
      <c r="MA12" s="222">
        <f>MA11+1</f>
        <v>6</v>
      </c>
      <c r="MB12" s="833" t="s">
        <v>206</v>
      </c>
      <c r="MC12" s="929">
        <f>N12</f>
        <v>113155729.87481624</v>
      </c>
      <c r="MD12" s="930">
        <f t="shared" si="51"/>
        <v>5.1846304536942283</v>
      </c>
      <c r="ME12" s="839"/>
      <c r="MF12" s="931">
        <f>MF9+MF10+MF11</f>
        <v>129497414.7166494</v>
      </c>
      <c r="MG12" s="930">
        <f t="shared" si="52"/>
        <v>5.9333826113567101</v>
      </c>
      <c r="MH12" s="12"/>
      <c r="MI12" s="13"/>
      <c r="MJ12" s="12"/>
      <c r="MK12" s="222">
        <f t="shared" si="81"/>
        <v>6</v>
      </c>
      <c r="ML12" s="833" t="str">
        <f t="shared" si="53"/>
        <v>Net Revenue</v>
      </c>
      <c r="MM12" s="980">
        <v>136637688.37609816</v>
      </c>
      <c r="MN12" s="929">
        <f>MC12</f>
        <v>113155729.87481624</v>
      </c>
      <c r="MO12" s="929">
        <f t="shared" si="70"/>
        <v>-23481958.501281917</v>
      </c>
      <c r="MP12" s="940">
        <f t="shared" si="71"/>
        <v>-0.17185564817700461</v>
      </c>
      <c r="MQ12" s="12"/>
      <c r="MR12" s="13"/>
      <c r="MS12" s="12"/>
    </row>
    <row r="13" spans="1:405" ht="16.5" x14ac:dyDescent="0.3">
      <c r="B13" s="143">
        <f t="shared" si="72"/>
        <v>8</v>
      </c>
      <c r="C13" s="307" t="s">
        <v>207</v>
      </c>
      <c r="D13" s="5"/>
      <c r="E13" s="308"/>
      <c r="F13" s="225"/>
      <c r="G13" s="226"/>
      <c r="H13" s="225"/>
      <c r="I13" s="227"/>
      <c r="J13" s="228"/>
      <c r="K13" s="225"/>
      <c r="L13" s="227"/>
      <c r="M13" s="228"/>
      <c r="N13" s="225"/>
      <c r="O13" s="227"/>
      <c r="P13" s="228"/>
      <c r="Q13" s="225"/>
      <c r="R13" s="229"/>
      <c r="V13" s="185"/>
      <c r="W13" s="186" t="s">
        <v>25</v>
      </c>
      <c r="X13" s="269"/>
      <c r="Y13" s="270"/>
      <c r="Z13" s="270"/>
      <c r="AA13" s="270"/>
      <c r="AB13" s="189"/>
      <c r="AC13" s="236"/>
      <c r="AF13" s="271">
        <f t="shared" si="73"/>
        <v>7</v>
      </c>
      <c r="AG13" s="816" t="s">
        <v>187</v>
      </c>
      <c r="AH13" s="818">
        <f>IH26/AH11</f>
        <v>20.884539615581581</v>
      </c>
      <c r="AI13" s="818">
        <f>IJ26/AI11</f>
        <v>20.908056285798974</v>
      </c>
      <c r="AJ13" s="818">
        <f>IL26/AJ11</f>
        <v>31.509468342655907</v>
      </c>
      <c r="AL13" s="299"/>
      <c r="AN13" s="222">
        <v>8</v>
      </c>
      <c r="AO13" s="18"/>
      <c r="AQ13" s="660" t="s">
        <v>46</v>
      </c>
      <c r="AR13" s="791"/>
      <c r="AS13" s="821">
        <v>12784699.6164</v>
      </c>
      <c r="AT13" s="822">
        <v>1.2467034624748656</v>
      </c>
      <c r="AU13" s="783"/>
      <c r="AV13" s="821">
        <v>13940512.122199997</v>
      </c>
      <c r="AW13" s="822">
        <v>1.2917708159017343</v>
      </c>
      <c r="AX13" s="823">
        <f t="shared" ref="AX13:AX20" si="87">AW13/AT13-1</f>
        <v>3.6149216540559026E-2</v>
      </c>
      <c r="AY13" s="783"/>
      <c r="AZ13" s="821">
        <v>16686157.735618668</v>
      </c>
      <c r="BA13" s="822">
        <v>1.2933634349589591</v>
      </c>
      <c r="BB13" s="823">
        <f t="shared" ref="BB13:BB20" si="88">BA13/AW13-1</f>
        <v>1.2328959886844792E-3</v>
      </c>
      <c r="BC13" s="783"/>
      <c r="BD13" s="821">
        <v>19121063.134010617</v>
      </c>
      <c r="BE13" s="822">
        <v>1.3002123037527811</v>
      </c>
      <c r="BF13" s="823">
        <f t="shared" ref="BF13:BF20" si="89">BE13/BA13-1</f>
        <v>5.2953938612307905E-3</v>
      </c>
      <c r="BG13" s="783"/>
      <c r="BH13" s="821">
        <v>21345531.913160004</v>
      </c>
      <c r="BI13" s="822">
        <v>1.4046426840756656</v>
      </c>
      <c r="BJ13" s="823">
        <f t="shared" ref="BJ13:BJ20" si="90">BI13/BE13-1</f>
        <v>8.0317945016724401E-2</v>
      </c>
      <c r="BK13" s="783"/>
      <c r="BL13" s="821">
        <v>23918047.727200001</v>
      </c>
      <c r="BM13" s="822">
        <v>1.4218898216681388</v>
      </c>
      <c r="BN13" s="823">
        <f t="shared" ref="BN13:BN20" si="91">BM13/BI13-1</f>
        <v>1.2278665448517856E-2</v>
      </c>
      <c r="BO13" s="783"/>
      <c r="BP13" s="821">
        <v>28535397.766300008</v>
      </c>
      <c r="BQ13" s="822">
        <v>1.5384698585450844</v>
      </c>
      <c r="BR13" s="823">
        <f t="shared" ref="BR13:BR20" si="92">BQ13/BM13-1</f>
        <v>8.1989500944718685E-2</v>
      </c>
      <c r="BS13" s="783"/>
      <c r="BT13" s="660">
        <v>32304174</v>
      </c>
      <c r="BU13" s="660">
        <v>1.65</v>
      </c>
      <c r="BV13" s="660">
        <f t="shared" ref="BV13:BV20" si="93">BU13/BQ13-1</f>
        <v>7.2494199893125222E-2</v>
      </c>
      <c r="BW13" s="237">
        <v>36103152.515199989</v>
      </c>
      <c r="BX13" s="238">
        <v>1.8651083200592218</v>
      </c>
      <c r="BY13" s="824">
        <f t="shared" si="60"/>
        <v>0.13036867882377079</v>
      </c>
      <c r="BZ13" s="824">
        <v>36687111.743471108</v>
      </c>
      <c r="CA13" s="824">
        <v>1.7984785294214409</v>
      </c>
      <c r="CB13" s="824">
        <f t="shared" si="61"/>
        <v>-3.5724354409434667E-2</v>
      </c>
      <c r="CC13" s="956">
        <v>37593268.407299995</v>
      </c>
      <c r="CD13" s="956">
        <v>1.8087697778034015</v>
      </c>
      <c r="CE13" s="723">
        <f>CD13/CA13-1</f>
        <v>5.722196964603965E-3</v>
      </c>
      <c r="CF13" s="792">
        <f t="shared" ref="CF13:CG16" si="94">F14</f>
        <v>38001297.827399999</v>
      </c>
      <c r="CG13" s="824">
        <f t="shared" si="94"/>
        <v>1.8264813004078884</v>
      </c>
      <c r="CH13" s="723">
        <f t="shared" ref="CH13:CH20" si="95">CG13/CD13-1</f>
        <v>9.7920270571947299E-3</v>
      </c>
      <c r="CI13" s="825">
        <f t="shared" si="63"/>
        <v>1.9724044340199098</v>
      </c>
      <c r="CJ13" s="723">
        <f t="shared" ref="CJ13:CJ23" si="96">(CI13+1)^(1/(2022-2004))-1</f>
        <v>6.2389506119690852E-2</v>
      </c>
      <c r="DD13" s="12"/>
      <c r="DN13" s="12"/>
      <c r="DU13" s="12"/>
      <c r="DV13" s="12"/>
      <c r="DW13" s="12"/>
      <c r="DX13" s="12"/>
      <c r="DY13" s="12"/>
      <c r="EE13" s="264"/>
      <c r="EQ13" s="16"/>
      <c r="ER13" s="266"/>
      <c r="FG13" s="16"/>
      <c r="FH13" s="266"/>
      <c r="FJ13" s="222">
        <f t="shared" si="78"/>
        <v>8</v>
      </c>
      <c r="FK13" s="242"/>
      <c r="FL13" s="877" t="s">
        <v>210</v>
      </c>
      <c r="FM13" s="650">
        <v>287774.28249999997</v>
      </c>
      <c r="FN13" s="650">
        <v>432005.11000000004</v>
      </c>
      <c r="FO13" s="650">
        <v>632877.02193000005</v>
      </c>
      <c r="FP13" s="794">
        <f t="shared" si="21"/>
        <v>1352656.4144300001</v>
      </c>
      <c r="FQ13" s="650">
        <v>289211.55522727268</v>
      </c>
      <c r="FR13" s="650">
        <v>432005.11000000004</v>
      </c>
      <c r="FS13" s="650">
        <v>644764.52193000005</v>
      </c>
      <c r="FT13" s="650">
        <v>1365981.1871572728</v>
      </c>
      <c r="FU13" s="955">
        <v>1365981.1871572728</v>
      </c>
      <c r="FV13" s="16"/>
      <c r="FW13" s="266"/>
      <c r="GJ13" s="203"/>
      <c r="GZ13" s="222">
        <v>8</v>
      </c>
      <c r="HA13" s="663">
        <v>8</v>
      </c>
      <c r="HB13" s="663">
        <v>10</v>
      </c>
      <c r="HC13" s="663">
        <v>10</v>
      </c>
      <c r="HD13" s="682">
        <v>43550832</v>
      </c>
      <c r="HE13" s="682">
        <v>44757820</v>
      </c>
      <c r="HF13" s="724">
        <f t="shared" si="22"/>
        <v>1</v>
      </c>
      <c r="HG13" s="724">
        <f t="shared" si="23"/>
        <v>1.0277144647890999</v>
      </c>
      <c r="HH13" s="723">
        <v>1</v>
      </c>
      <c r="HI13" s="723">
        <v>0</v>
      </c>
      <c r="HJ13" s="723">
        <v>0</v>
      </c>
      <c r="HN13" s="243">
        <v>8</v>
      </c>
      <c r="HO13" s="891">
        <v>8</v>
      </c>
      <c r="HP13" s="793">
        <f t="shared" si="2"/>
        <v>1.0277144647890999</v>
      </c>
      <c r="HQ13" s="650">
        <v>0</v>
      </c>
      <c r="HR13" s="794">
        <f t="shared" si="24"/>
        <v>0</v>
      </c>
      <c r="HS13" s="650">
        <v>4712143</v>
      </c>
      <c r="HT13" s="975">
        <v>4843043</v>
      </c>
      <c r="HU13" s="650">
        <v>2193241.5596000003</v>
      </c>
      <c r="HV13" s="975">
        <v>2385075</v>
      </c>
      <c r="HW13" s="650">
        <v>225000</v>
      </c>
      <c r="HX13" s="955">
        <v>225000</v>
      </c>
      <c r="HY13" s="650">
        <f t="shared" si="25"/>
        <v>2418241.5596000003</v>
      </c>
      <c r="HZ13" s="650">
        <f t="shared" si="25"/>
        <v>2610075</v>
      </c>
      <c r="IA13" s="206"/>
      <c r="IB13" s="207"/>
      <c r="IC13" s="206"/>
      <c r="ID13" s="244">
        <v>8</v>
      </c>
      <c r="IE13" s="891">
        <v>8</v>
      </c>
      <c r="IF13" s="899">
        <f t="shared" si="3"/>
        <v>1</v>
      </c>
      <c r="IG13" s="900">
        <f t="shared" si="3"/>
        <v>1.0277144647890999</v>
      </c>
      <c r="IH13" s="955">
        <v>669480.85743452248</v>
      </c>
      <c r="II13" s="794">
        <f t="shared" si="64"/>
        <v>688035.1610848679</v>
      </c>
      <c r="IJ13" s="955">
        <v>51713</v>
      </c>
      <c r="IK13" s="794">
        <f>IJ13*$IG13</f>
        <v>53146.19811763872</v>
      </c>
      <c r="IL13" s="955">
        <v>554229.39256547752</v>
      </c>
      <c r="IM13" s="794">
        <f t="shared" si="82"/>
        <v>554229.39256547752</v>
      </c>
      <c r="IN13" s="955">
        <v>529630.91050901939</v>
      </c>
      <c r="IO13" s="995">
        <v>529630.91050901939</v>
      </c>
      <c r="IP13" s="955">
        <v>32619.339000000007</v>
      </c>
      <c r="IQ13" s="794">
        <f t="shared" si="27"/>
        <v>33523.366522159224</v>
      </c>
      <c r="IR13" s="955">
        <v>100134.73700000002</v>
      </c>
      <c r="IS13" s="794">
        <f t="shared" si="28"/>
        <v>102909.91764275231</v>
      </c>
      <c r="IT13" s="955">
        <v>14399.843999999999</v>
      </c>
      <c r="IU13" s="794">
        <f t="shared" si="29"/>
        <v>14798.927969506531</v>
      </c>
      <c r="IV13" s="955">
        <v>322924.64970000001</v>
      </c>
      <c r="IW13" s="794">
        <f t="shared" si="30"/>
        <v>331874.3335336431</v>
      </c>
      <c r="IX13" s="650">
        <f t="shared" si="31"/>
        <v>2275132.7302090195</v>
      </c>
      <c r="IY13" s="650">
        <f t="shared" si="31"/>
        <v>2308148.2079450646</v>
      </c>
      <c r="IZ13" s="683">
        <f t="shared" si="4"/>
        <v>5.1569719167400576</v>
      </c>
      <c r="JD13" s="222">
        <v>8</v>
      </c>
      <c r="JE13" s="663">
        <v>8</v>
      </c>
      <c r="JF13" s="660">
        <f t="shared" si="5"/>
        <v>10</v>
      </c>
      <c r="JG13" s="660">
        <f t="shared" si="32"/>
        <v>10</v>
      </c>
      <c r="JH13" s="905">
        <f t="shared" si="6"/>
        <v>44757820</v>
      </c>
      <c r="JI13" s="905">
        <f t="shared" si="83"/>
        <v>44522233.400447115</v>
      </c>
      <c r="JJ13" s="906">
        <f t="shared" si="33"/>
        <v>1</v>
      </c>
      <c r="JK13" s="906">
        <f t="shared" si="34"/>
        <v>0.99473641478622321</v>
      </c>
      <c r="JL13" s="906">
        <f t="shared" si="35"/>
        <v>1.032323315640387</v>
      </c>
      <c r="JM13" s="663" t="s">
        <v>424</v>
      </c>
      <c r="JN13" s="209"/>
      <c r="JO13" s="210"/>
      <c r="JP13" s="209"/>
      <c r="JQ13" s="222">
        <v>8</v>
      </c>
      <c r="JR13" s="663">
        <v>8</v>
      </c>
      <c r="JS13" s="914" t="str">
        <f t="shared" si="7"/>
        <v>Q4</v>
      </c>
      <c r="JT13" s="913">
        <f t="shared" si="8"/>
        <v>1.032323315640387</v>
      </c>
      <c r="JU13" s="671">
        <f t="shared" si="36"/>
        <v>0</v>
      </c>
      <c r="JV13" s="671">
        <f t="shared" si="37"/>
        <v>0</v>
      </c>
      <c r="JW13" s="671">
        <f t="shared" si="9"/>
        <v>4843043</v>
      </c>
      <c r="JX13" s="671">
        <f t="shared" si="38"/>
        <v>4912578.0043329941</v>
      </c>
      <c r="JY13" s="671">
        <f t="shared" si="10"/>
        <v>2385075</v>
      </c>
      <c r="JZ13" s="671">
        <f t="shared" si="11"/>
        <v>2204603.4697773927</v>
      </c>
      <c r="KA13" s="671">
        <f t="shared" si="39"/>
        <v>225000</v>
      </c>
      <c r="KB13" s="671">
        <f t="shared" si="40"/>
        <v>96889.145222078689</v>
      </c>
      <c r="KC13" s="671">
        <f t="shared" si="41"/>
        <v>2610075</v>
      </c>
      <c r="KD13" s="671">
        <f t="shared" si="41"/>
        <v>2301492.6149994712</v>
      </c>
      <c r="KE13" s="211"/>
      <c r="KF13" s="210"/>
      <c r="KG13" s="209"/>
      <c r="KH13" s="245">
        <f t="shared" si="65"/>
        <v>8</v>
      </c>
      <c r="KI13" s="917">
        <v>7</v>
      </c>
      <c r="KJ13" s="918">
        <f t="shared" si="66"/>
        <v>1</v>
      </c>
      <c r="KK13" s="918">
        <f t="shared" si="66"/>
        <v>0.9947364147862231</v>
      </c>
      <c r="KL13" s="898">
        <v>1.6626666699999999</v>
      </c>
      <c r="KM13" s="801">
        <f t="shared" si="67"/>
        <v>865317.05661203223</v>
      </c>
      <c r="KN13" s="898">
        <v>1.6626666699999999</v>
      </c>
      <c r="KO13" s="801">
        <f t="shared" si="42"/>
        <v>105989.23712797403</v>
      </c>
      <c r="KP13" s="898">
        <v>1.6626666699999999</v>
      </c>
      <c r="KQ13" s="801">
        <f t="shared" si="43"/>
        <v>526183.7318615996</v>
      </c>
      <c r="KR13" s="898">
        <v>1.6626666699999999</v>
      </c>
      <c r="KS13" s="801">
        <f t="shared" si="68"/>
        <v>694521.54809798126</v>
      </c>
      <c r="KT13" s="898">
        <v>1.6626666699999999</v>
      </c>
      <c r="KU13" s="801">
        <f t="shared" si="44"/>
        <v>216249.87304780527</v>
      </c>
      <c r="KV13" s="898">
        <v>1.6626666699999999</v>
      </c>
      <c r="KW13" s="801">
        <f t="shared" si="45"/>
        <v>80667.64197722853</v>
      </c>
      <c r="KX13" s="898">
        <v>1.6626666699999999</v>
      </c>
      <c r="KY13" s="801">
        <f t="shared" si="46"/>
        <v>72724.565545610516</v>
      </c>
      <c r="KZ13" s="898">
        <v>1.6626666699999999</v>
      </c>
      <c r="LA13" s="919">
        <f t="shared" si="47"/>
        <v>266126.98601243325</v>
      </c>
      <c r="LB13" s="646">
        <f t="shared" si="48"/>
        <v>2753052.5518501359</v>
      </c>
      <c r="LC13" s="646">
        <f t="shared" si="79"/>
        <v>2827780.6402826649</v>
      </c>
      <c r="LD13" s="16"/>
      <c r="LE13" s="220"/>
      <c r="LG13" s="222">
        <v>8</v>
      </c>
      <c r="LH13" s="922">
        <v>8</v>
      </c>
      <c r="LI13" s="650">
        <f t="shared" si="12"/>
        <v>2418241.5596000003</v>
      </c>
      <c r="LJ13" s="650">
        <f t="shared" si="12"/>
        <v>2610075</v>
      </c>
      <c r="LK13" s="794">
        <f t="shared" si="13"/>
        <v>2301492.6149994712</v>
      </c>
      <c r="LL13" s="650">
        <f t="shared" si="14"/>
        <v>2275132.7302090195</v>
      </c>
      <c r="LM13" s="650">
        <f t="shared" si="14"/>
        <v>2308148.2079450646</v>
      </c>
      <c r="LN13" s="794">
        <f t="shared" si="49"/>
        <v>2382755.2110152668</v>
      </c>
      <c r="LO13" s="650">
        <f t="shared" si="50"/>
        <v>143108.82939098077</v>
      </c>
      <c r="LP13" s="650">
        <f t="shared" si="50"/>
        <v>301926.79205493536</v>
      </c>
      <c r="LQ13" s="650">
        <f t="shared" si="50"/>
        <v>-81262.5960157956</v>
      </c>
      <c r="LU13" s="222">
        <f t="shared" si="69"/>
        <v>8</v>
      </c>
      <c r="LV13" s="927" t="s">
        <v>211</v>
      </c>
      <c r="LW13" s="309">
        <f>LW12-LW9</f>
        <v>19960070.068912446</v>
      </c>
      <c r="MA13" s="192">
        <f t="shared" si="80"/>
        <v>7</v>
      </c>
      <c r="MB13" s="194" t="s">
        <v>207</v>
      </c>
      <c r="MC13" s="197"/>
      <c r="MD13" s="246"/>
      <c r="ME13" s="29"/>
      <c r="MF13" s="247"/>
      <c r="MG13" s="246"/>
      <c r="MK13" s="192">
        <f t="shared" si="81"/>
        <v>7</v>
      </c>
      <c r="ML13" s="194" t="str">
        <f t="shared" si="53"/>
        <v>Expenses</v>
      </c>
      <c r="MM13" s="249"/>
      <c r="MN13" s="197"/>
      <c r="MO13" s="197"/>
      <c r="MP13" s="261"/>
    </row>
    <row r="14" spans="1:405" s="29" customFormat="1" ht="16.5" x14ac:dyDescent="0.3">
      <c r="B14" s="181">
        <f t="shared" si="72"/>
        <v>9</v>
      </c>
      <c r="C14" s="251"/>
      <c r="D14" s="796" t="s">
        <v>46</v>
      </c>
      <c r="E14" s="797"/>
      <c r="F14" s="798">
        <f>CS9</f>
        <v>38001297.827399999</v>
      </c>
      <c r="G14" s="799">
        <f t="shared" ref="G14:G22" si="97">F14/F$24*100</f>
        <v>1.8264813004078884</v>
      </c>
      <c r="H14" s="798">
        <f>CW9</f>
        <v>36813199.8476827</v>
      </c>
      <c r="I14" s="800">
        <f t="shared" ref="I14:I22" si="98">H14/H$24*100</f>
        <v>1.7601081809735752</v>
      </c>
      <c r="J14" s="801">
        <f t="shared" si="54"/>
        <v>-1188097.9797172993</v>
      </c>
      <c r="K14" s="798">
        <f>II26</f>
        <v>38759425.026482746</v>
      </c>
      <c r="L14" s="800">
        <f t="shared" ref="L14:L22" si="99">K14/K$24*100</f>
        <v>1.7665527038445854</v>
      </c>
      <c r="M14" s="801">
        <f t="shared" si="55"/>
        <v>1946225.1788000464</v>
      </c>
      <c r="N14" s="798">
        <f>KM27</f>
        <v>39859467.818068884</v>
      </c>
      <c r="O14" s="800">
        <f t="shared" ref="O14:O22" si="100">N14/N$24*100</f>
        <v>1.8263026622357383</v>
      </c>
      <c r="P14" s="801">
        <f t="shared" si="56"/>
        <v>1100042.7915861383</v>
      </c>
      <c r="Q14" s="798">
        <f t="shared" si="57"/>
        <v>1858169.9906688854</v>
      </c>
      <c r="R14" s="802">
        <f t="shared" si="58"/>
        <v>-9.7804544787916115E-5</v>
      </c>
      <c r="S14" s="12"/>
      <c r="T14" s="13"/>
      <c r="U14" s="12"/>
      <c r="V14" s="165">
        <f>V12+1</f>
        <v>6</v>
      </c>
      <c r="W14" s="805" t="s">
        <v>172</v>
      </c>
      <c r="X14" s="650">
        <f>SUMPRODUCT($LP$6:$LP$25,HH6:HH25)</f>
        <v>20160.815973906778</v>
      </c>
      <c r="Y14" s="650">
        <f>SUMPRODUCT($LP$6:$LP$25,HI6:HI25)</f>
        <v>6169011.8022504635</v>
      </c>
      <c r="Z14" s="650">
        <f>SUMPRODUCT($LP$6:$LP$25,HJ6:HJ25)</f>
        <v>16392300.707405737</v>
      </c>
      <c r="AA14" s="650">
        <f>SUM(X14:Z14)</f>
        <v>22581473.325630106</v>
      </c>
      <c r="AB14" s="230" t="s">
        <v>430</v>
      </c>
      <c r="AC14" s="12"/>
      <c r="AD14" s="13"/>
      <c r="AE14" s="12"/>
      <c r="AF14" s="252">
        <f t="shared" si="73"/>
        <v>8</v>
      </c>
      <c r="AG14" s="191" t="s">
        <v>25</v>
      </c>
      <c r="AK14" s="12"/>
      <c r="AL14" s="299"/>
      <c r="AM14" s="12"/>
      <c r="AN14" s="192">
        <v>9</v>
      </c>
      <c r="AO14" s="254"/>
      <c r="AQ14" s="796" t="s">
        <v>212</v>
      </c>
      <c r="AR14" s="797"/>
      <c r="AS14" s="827">
        <v>936011.74</v>
      </c>
      <c r="AT14" s="828">
        <v>9.1275439563570718E-2</v>
      </c>
      <c r="AU14" s="829"/>
      <c r="AV14" s="827">
        <v>1523068.1600000001</v>
      </c>
      <c r="AW14" s="828">
        <v>0.14113218958319465</v>
      </c>
      <c r="AX14" s="830">
        <f t="shared" si="87"/>
        <v>0.54622306129679221</v>
      </c>
      <c r="AY14" s="829"/>
      <c r="AZ14" s="827">
        <v>2211207.06</v>
      </c>
      <c r="BA14" s="828">
        <v>0.17139322328365042</v>
      </c>
      <c r="BB14" s="830">
        <f t="shared" si="88"/>
        <v>0.2144162418922686</v>
      </c>
      <c r="BC14" s="829"/>
      <c r="BD14" s="827">
        <v>2871478.9273906099</v>
      </c>
      <c r="BE14" s="828">
        <v>0.19525756518837487</v>
      </c>
      <c r="BF14" s="830">
        <f t="shared" si="89"/>
        <v>0.13923737151048088</v>
      </c>
      <c r="BG14" s="829"/>
      <c r="BH14" s="827">
        <v>3068616.0090000001</v>
      </c>
      <c r="BI14" s="828">
        <v>0.20193027022305846</v>
      </c>
      <c r="BJ14" s="830">
        <f t="shared" si="90"/>
        <v>3.4173861731022326E-2</v>
      </c>
      <c r="BK14" s="829"/>
      <c r="BL14" s="827">
        <v>3403828.76</v>
      </c>
      <c r="BM14" s="828">
        <v>0.20235219545286309</v>
      </c>
      <c r="BN14" s="830">
        <f t="shared" si="91"/>
        <v>2.0894600365688465E-3</v>
      </c>
      <c r="BO14" s="829"/>
      <c r="BP14" s="827">
        <v>4538272.1100000003</v>
      </c>
      <c r="BQ14" s="828">
        <v>0.24467837835281422</v>
      </c>
      <c r="BR14" s="830">
        <f t="shared" si="92"/>
        <v>0.20917086076197666</v>
      </c>
      <c r="BS14" s="829"/>
      <c r="BT14" s="796">
        <v>5378012</v>
      </c>
      <c r="BU14" s="796">
        <v>0.27</v>
      </c>
      <c r="BV14" s="796">
        <f t="shared" si="93"/>
        <v>0.10348941258174138</v>
      </c>
      <c r="BW14" s="258">
        <v>1768561.8457999995</v>
      </c>
      <c r="BX14" s="259">
        <v>9.1364858283556505E-2</v>
      </c>
      <c r="BY14" s="831">
        <f t="shared" si="60"/>
        <v>-0.66161163598682782</v>
      </c>
      <c r="BZ14" s="831">
        <v>1718931.8145400002</v>
      </c>
      <c r="CA14" s="831">
        <v>8.4265613047061122E-2</v>
      </c>
      <c r="CB14" s="831">
        <f t="shared" si="61"/>
        <v>-7.7702142485269743E-2</v>
      </c>
      <c r="CC14" s="956">
        <v>2147244.1196499998</v>
      </c>
      <c r="CD14" s="956">
        <v>0.10331291834244472</v>
      </c>
      <c r="CE14" s="802">
        <f t="shared" ref="CE14:CE20" si="101">CD14/CA14-1</f>
        <v>0.22603888593020671</v>
      </c>
      <c r="CF14" s="798">
        <f t="shared" si="94"/>
        <v>1804966.5518499999</v>
      </c>
      <c r="CG14" s="831">
        <f t="shared" si="94"/>
        <v>8.6753291158353285E-2</v>
      </c>
      <c r="CH14" s="802">
        <f t="shared" si="95"/>
        <v>-0.16028612345652937</v>
      </c>
      <c r="CI14" s="832">
        <f t="shared" si="63"/>
        <v>0.92835888132129618</v>
      </c>
      <c r="CJ14" s="802">
        <f t="shared" si="96"/>
        <v>3.7155250184706556E-2</v>
      </c>
      <c r="CK14" s="12"/>
      <c r="CL14" s="13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3"/>
      <c r="CZ14" s="12"/>
      <c r="DA14" s="12"/>
      <c r="DB14" s="12"/>
      <c r="DC14" s="12"/>
      <c r="DD14" s="12"/>
      <c r="DE14" s="12"/>
      <c r="DF14" s="12"/>
      <c r="DG14" s="12"/>
      <c r="DH14" s="12"/>
      <c r="DI14" s="13"/>
      <c r="DJ14" s="12"/>
      <c r="DK14" s="12"/>
      <c r="DL14" s="12"/>
      <c r="DM14" s="12"/>
      <c r="DN14" s="12"/>
      <c r="DO14" s="12"/>
      <c r="DP14" s="12"/>
      <c r="DQ14" s="12"/>
      <c r="DR14" s="13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3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6"/>
      <c r="ER14" s="266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6"/>
      <c r="FH14" s="266"/>
      <c r="FI14" s="12"/>
      <c r="FJ14" s="192">
        <f t="shared" si="78"/>
        <v>9</v>
      </c>
      <c r="FK14" s="265"/>
      <c r="FL14" s="878" t="s">
        <v>213</v>
      </c>
      <c r="FM14" s="860">
        <v>2536</v>
      </c>
      <c r="FN14" s="860">
        <v>11058.939999999999</v>
      </c>
      <c r="FO14" s="860">
        <v>30774.82</v>
      </c>
      <c r="FP14" s="801">
        <f t="shared" si="21"/>
        <v>44369.759999999995</v>
      </c>
      <c r="FQ14" s="860">
        <v>2536</v>
      </c>
      <c r="FR14" s="860">
        <v>11058.939999999999</v>
      </c>
      <c r="FS14" s="860">
        <v>30774.82</v>
      </c>
      <c r="FT14" s="860">
        <v>44369.759999999995</v>
      </c>
      <c r="FU14" s="955">
        <v>44369.759999999995</v>
      </c>
      <c r="FV14" s="16"/>
      <c r="FW14" s="266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5"/>
      <c r="GJ14" s="266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290"/>
      <c r="GX14" s="12"/>
      <c r="GY14" s="12"/>
      <c r="GZ14" s="192">
        <v>9</v>
      </c>
      <c r="HA14" s="886">
        <v>9</v>
      </c>
      <c r="HB14" s="886">
        <v>11</v>
      </c>
      <c r="HC14" s="886">
        <v>11</v>
      </c>
      <c r="HD14" s="887">
        <v>57378324</v>
      </c>
      <c r="HE14" s="887">
        <v>59003223</v>
      </c>
      <c r="HF14" s="800">
        <f t="shared" si="22"/>
        <v>1</v>
      </c>
      <c r="HG14" s="800">
        <f t="shared" si="23"/>
        <v>1.0283190390852128</v>
      </c>
      <c r="HH14" s="802">
        <v>1</v>
      </c>
      <c r="HI14" s="802">
        <v>0</v>
      </c>
      <c r="HJ14" s="802">
        <v>0</v>
      </c>
      <c r="HK14" s="12"/>
      <c r="HL14" s="13"/>
      <c r="HM14" s="12"/>
      <c r="HN14" s="267">
        <v>9</v>
      </c>
      <c r="HO14" s="892">
        <v>9</v>
      </c>
      <c r="HP14" s="799">
        <f t="shared" si="2"/>
        <v>1.0283190390852128</v>
      </c>
      <c r="HQ14" s="860">
        <v>0</v>
      </c>
      <c r="HR14" s="801">
        <f t="shared" si="24"/>
        <v>0</v>
      </c>
      <c r="HS14" s="860">
        <v>6247804</v>
      </c>
      <c r="HT14" s="975">
        <v>6429726</v>
      </c>
      <c r="HU14" s="860">
        <v>2769420.5663999999</v>
      </c>
      <c r="HV14" s="975">
        <v>3218850</v>
      </c>
      <c r="HW14" s="860">
        <v>247500</v>
      </c>
      <c r="HX14" s="955">
        <v>247500</v>
      </c>
      <c r="HY14" s="860">
        <f t="shared" si="25"/>
        <v>3016920.5663999999</v>
      </c>
      <c r="HZ14" s="860">
        <f t="shared" si="25"/>
        <v>3466350</v>
      </c>
      <c r="IA14" s="206"/>
      <c r="IB14" s="207"/>
      <c r="IC14" s="206"/>
      <c r="ID14" s="208">
        <v>9</v>
      </c>
      <c r="IE14" s="892">
        <v>9</v>
      </c>
      <c r="IF14" s="896">
        <f t="shared" si="3"/>
        <v>1</v>
      </c>
      <c r="IG14" s="897">
        <f t="shared" si="3"/>
        <v>1.0283190390852128</v>
      </c>
      <c r="IH14" s="955">
        <v>785780.35668281571</v>
      </c>
      <c r="II14" s="801">
        <f t="shared" si="64"/>
        <v>808032.90131610888</v>
      </c>
      <c r="IJ14" s="955">
        <v>102327.17</v>
      </c>
      <c r="IK14" s="801">
        <f t="shared" si="26"/>
        <v>105224.97712670921</v>
      </c>
      <c r="IL14" s="955">
        <v>563972.59331718413</v>
      </c>
      <c r="IM14" s="801">
        <f t="shared" si="82"/>
        <v>563972.59331718413</v>
      </c>
      <c r="IN14" s="955">
        <v>665395.07612386486</v>
      </c>
      <c r="IO14" s="995">
        <v>665395.07612386486</v>
      </c>
      <c r="IP14" s="955">
        <v>66175.421999999991</v>
      </c>
      <c r="IQ14" s="801">
        <f t="shared" si="27"/>
        <v>68049.446362098446</v>
      </c>
      <c r="IR14" s="955">
        <v>70327.29800000001</v>
      </c>
      <c r="IS14" s="801">
        <f t="shared" si="28"/>
        <v>72318.899500819418</v>
      </c>
      <c r="IT14" s="955">
        <v>69709.170000000013</v>
      </c>
      <c r="IU14" s="801">
        <f t="shared" si="29"/>
        <v>71683.26670982776</v>
      </c>
      <c r="IV14" s="955">
        <v>823991.9706</v>
      </c>
      <c r="IW14" s="801">
        <f t="shared" si="30"/>
        <v>847326.63142132293</v>
      </c>
      <c r="IX14" s="860">
        <f t="shared" si="31"/>
        <v>3147679.0567238643</v>
      </c>
      <c r="IY14" s="860">
        <f t="shared" si="31"/>
        <v>3202003.7918779361</v>
      </c>
      <c r="IZ14" s="898">
        <f t="shared" si="4"/>
        <v>5.4268286189687229</v>
      </c>
      <c r="JA14" s="12"/>
      <c r="JB14" s="13"/>
      <c r="JC14" s="12"/>
      <c r="JD14" s="192">
        <v>9</v>
      </c>
      <c r="JE14" s="886">
        <v>9</v>
      </c>
      <c r="JF14" s="796">
        <f t="shared" si="5"/>
        <v>11</v>
      </c>
      <c r="JG14" s="796">
        <f t="shared" si="32"/>
        <v>11</v>
      </c>
      <c r="JH14" s="859">
        <f t="shared" si="6"/>
        <v>59003223</v>
      </c>
      <c r="JI14" s="859">
        <f t="shared" si="83"/>
        <v>58692654.507852025</v>
      </c>
      <c r="JJ14" s="904">
        <f t="shared" si="33"/>
        <v>1</v>
      </c>
      <c r="JK14" s="904">
        <f t="shared" si="34"/>
        <v>0.99473641478622321</v>
      </c>
      <c r="JL14" s="904">
        <f t="shared" si="35"/>
        <v>1.0268918247583561</v>
      </c>
      <c r="JM14" s="886" t="s">
        <v>238</v>
      </c>
      <c r="JN14" s="209"/>
      <c r="JO14" s="210"/>
      <c r="JP14" s="209"/>
      <c r="JQ14" s="192">
        <v>9</v>
      </c>
      <c r="JR14" s="886">
        <v>9</v>
      </c>
      <c r="JS14" s="910" t="str">
        <f t="shared" si="7"/>
        <v>Q3</v>
      </c>
      <c r="JT14" s="911">
        <f t="shared" si="8"/>
        <v>1.0268918247583561</v>
      </c>
      <c r="JU14" s="860">
        <f t="shared" si="36"/>
        <v>0</v>
      </c>
      <c r="JV14" s="860">
        <f t="shared" si="37"/>
        <v>0</v>
      </c>
      <c r="JW14" s="860">
        <f t="shared" si="9"/>
        <v>6429726</v>
      </c>
      <c r="JX14" s="860">
        <f t="shared" si="38"/>
        <v>6476140.6050284533</v>
      </c>
      <c r="JY14" s="860">
        <f t="shared" si="10"/>
        <v>3218850</v>
      </c>
      <c r="JZ14" s="860">
        <f t="shared" si="11"/>
        <v>2906278.9508928107</v>
      </c>
      <c r="KA14" s="860">
        <f t="shared" si="39"/>
        <v>247500</v>
      </c>
      <c r="KB14" s="860">
        <f t="shared" si="40"/>
        <v>127726.77136236065</v>
      </c>
      <c r="KC14" s="860">
        <f t="shared" si="41"/>
        <v>3466350</v>
      </c>
      <c r="KD14" s="860">
        <f t="shared" si="41"/>
        <v>3034005.7222551713</v>
      </c>
      <c r="KE14" s="211"/>
      <c r="KF14" s="210"/>
      <c r="KG14" s="209"/>
      <c r="KH14" s="243">
        <f t="shared" si="65"/>
        <v>9</v>
      </c>
      <c r="KI14" s="891">
        <v>8</v>
      </c>
      <c r="KJ14" s="920">
        <f t="shared" si="66"/>
        <v>1</v>
      </c>
      <c r="KK14" s="920">
        <f t="shared" si="66"/>
        <v>0.99473641478622321</v>
      </c>
      <c r="KL14" s="683">
        <v>1.6546666699999999</v>
      </c>
      <c r="KM14" s="794">
        <f t="shared" si="67"/>
        <v>708514.25569778471</v>
      </c>
      <c r="KN14" s="683">
        <v>1.6546666699999999</v>
      </c>
      <c r="KO14" s="794">
        <f t="shared" si="42"/>
        <v>54728.073697735264</v>
      </c>
      <c r="KP14" s="683">
        <v>1.6546666699999999</v>
      </c>
      <c r="KQ14" s="794">
        <f t="shared" si="43"/>
        <v>573745.77112461848</v>
      </c>
      <c r="KR14" s="683">
        <v>1.6546666699999999</v>
      </c>
      <c r="KS14" s="794">
        <f t="shared" si="68"/>
        <v>548281.08945075667</v>
      </c>
      <c r="KT14" s="683">
        <v>1.6546666699999999</v>
      </c>
      <c r="KU14" s="794">
        <f t="shared" si="44"/>
        <v>34521.176276050719</v>
      </c>
      <c r="KV14" s="683">
        <v>1.6546666699999999</v>
      </c>
      <c r="KW14" s="794">
        <f t="shared" si="45"/>
        <v>105972.99066461703</v>
      </c>
      <c r="KX14" s="683">
        <v>1.6546666699999999</v>
      </c>
      <c r="KY14" s="794">
        <f t="shared" si="46"/>
        <v>15239.412211008663</v>
      </c>
      <c r="KZ14" s="683">
        <v>1.6546666699999999</v>
      </c>
      <c r="LA14" s="794">
        <f t="shared" si="47"/>
        <v>341752.44189269521</v>
      </c>
      <c r="LB14" s="650">
        <f t="shared" si="48"/>
        <v>2308148.2079450646</v>
      </c>
      <c r="LC14" s="650">
        <f t="shared" si="79"/>
        <v>2382755.2110152668</v>
      </c>
      <c r="LD14" s="16"/>
      <c r="LE14" s="220"/>
      <c r="LF14" s="12"/>
      <c r="LG14" s="192">
        <v>9</v>
      </c>
      <c r="LH14" s="921">
        <v>9</v>
      </c>
      <c r="LI14" s="860">
        <f t="shared" si="12"/>
        <v>3016920.5663999999</v>
      </c>
      <c r="LJ14" s="860">
        <f t="shared" si="12"/>
        <v>3466350</v>
      </c>
      <c r="LK14" s="801">
        <f t="shared" si="13"/>
        <v>3034005.7222551713</v>
      </c>
      <c r="LL14" s="860">
        <f t="shared" si="14"/>
        <v>3147679.0567238643</v>
      </c>
      <c r="LM14" s="860">
        <f t="shared" si="14"/>
        <v>3202003.7918779361</v>
      </c>
      <c r="LN14" s="801">
        <f t="shared" si="49"/>
        <v>3288111.5167247094</v>
      </c>
      <c r="LO14" s="860">
        <f t="shared" si="50"/>
        <v>-130758.49032386439</v>
      </c>
      <c r="LP14" s="860">
        <f t="shared" si="50"/>
        <v>264346.20812206389</v>
      </c>
      <c r="LQ14" s="860">
        <f t="shared" si="50"/>
        <v>-254105.79446953814</v>
      </c>
      <c r="LR14" s="12"/>
      <c r="LS14" s="13"/>
      <c r="LT14" s="12"/>
      <c r="LU14" s="5"/>
      <c r="LV14" s="12"/>
      <c r="LW14" s="12"/>
      <c r="LX14" s="12"/>
      <c r="LY14" s="13"/>
      <c r="LZ14" s="12"/>
      <c r="MA14" s="222">
        <f t="shared" si="80"/>
        <v>8</v>
      </c>
      <c r="MB14" s="812" t="s">
        <v>46</v>
      </c>
      <c r="MC14" s="650">
        <f t="shared" ref="MC14:MC21" si="102">N14</f>
        <v>39859467.818068884</v>
      </c>
      <c r="MD14" s="747">
        <f t="shared" ref="MD14:MD21" si="103">MC14/$MC$34*100</f>
        <v>1.8263026622357383</v>
      </c>
      <c r="ME14" s="660"/>
      <c r="MF14" s="792">
        <f t="shared" ref="MF14:MF20" si="104">MC14</f>
        <v>39859467.818068884</v>
      </c>
      <c r="MG14" s="747">
        <f t="shared" ref="MG14:MG21" si="105">MF14/$MG$34*100</f>
        <v>1.8263026622357383</v>
      </c>
      <c r="MH14" s="12"/>
      <c r="MI14" s="13"/>
      <c r="MJ14" s="12"/>
      <c r="MK14" s="222">
        <f t="shared" si="81"/>
        <v>8</v>
      </c>
      <c r="ML14" s="231" t="str">
        <f t="shared" si="53"/>
        <v>Direct Labour</v>
      </c>
      <c r="MM14" s="979">
        <v>33580635.97480382</v>
      </c>
      <c r="MN14" s="650">
        <f t="shared" ref="MN14:MN21" si="106">MC14</f>
        <v>39859467.818068884</v>
      </c>
      <c r="MO14" s="650">
        <f t="shared" si="70"/>
        <v>6278831.8432650641</v>
      </c>
      <c r="MP14" s="823">
        <f t="shared" si="71"/>
        <v>0.18697775253500826</v>
      </c>
      <c r="MQ14" s="12"/>
      <c r="MR14" s="13"/>
      <c r="MS14" s="12"/>
    </row>
    <row r="15" spans="1:405" ht="16.5" x14ac:dyDescent="0.3">
      <c r="B15" s="143">
        <f t="shared" si="72"/>
        <v>10</v>
      </c>
      <c r="C15" s="223"/>
      <c r="D15" s="660" t="s">
        <v>47</v>
      </c>
      <c r="E15" s="791"/>
      <c r="F15" s="792">
        <f>DD9</f>
        <v>1804966.5518499999</v>
      </c>
      <c r="G15" s="793">
        <f t="shared" si="97"/>
        <v>8.6753291158353285E-2</v>
      </c>
      <c r="H15" s="792">
        <f>DG9</f>
        <v>1805841.8473045453</v>
      </c>
      <c r="I15" s="724">
        <f t="shared" si="98"/>
        <v>8.6340688180770606E-2</v>
      </c>
      <c r="J15" s="794">
        <f t="shared" si="54"/>
        <v>875.29545454541221</v>
      </c>
      <c r="K15" s="792">
        <f>IK26</f>
        <v>1927835.2228029165</v>
      </c>
      <c r="L15" s="724">
        <f t="shared" si="99"/>
        <v>8.7865661657323263E-2</v>
      </c>
      <c r="M15" s="794">
        <f t="shared" si="55"/>
        <v>121993.3754983712</v>
      </c>
      <c r="N15" s="792">
        <f>KO27</f>
        <v>1983407.3772948217</v>
      </c>
      <c r="O15" s="724">
        <f t="shared" si="100"/>
        <v>9.0876832324627607E-2</v>
      </c>
      <c r="P15" s="794">
        <f t="shared" si="56"/>
        <v>55572.154491905123</v>
      </c>
      <c r="Q15" s="792">
        <f t="shared" si="57"/>
        <v>178440.82544482173</v>
      </c>
      <c r="R15" s="723">
        <f t="shared" si="58"/>
        <v>4.7531812467465961E-2</v>
      </c>
      <c r="V15" s="252">
        <f t="shared" si="59"/>
        <v>7</v>
      </c>
      <c r="W15" s="806" t="s">
        <v>179</v>
      </c>
      <c r="X15" s="800">
        <f>X14/K$24*100</f>
        <v>9.1887699433321679E-4</v>
      </c>
      <c r="Y15" s="800">
        <f>Y14/K$24*100</f>
        <v>0.28116734115298747</v>
      </c>
      <c r="Z15" s="800">
        <f>Z14/K$24*100</f>
        <v>0.74711797497293575</v>
      </c>
      <c r="AA15" s="800">
        <f>AA14/K$24*100</f>
        <v>1.0292041931202562</v>
      </c>
      <c r="AB15" s="227"/>
      <c r="AC15" s="233"/>
      <c r="AF15" s="165">
        <f t="shared" si="73"/>
        <v>9</v>
      </c>
      <c r="AG15" s="812" t="s">
        <v>77</v>
      </c>
      <c r="AH15" s="813">
        <f>AH11*II27</f>
        <v>1855890.8043902982</v>
      </c>
      <c r="AI15" s="813">
        <f>AI11*IK27</f>
        <v>92205.377508588761</v>
      </c>
      <c r="AJ15" s="813">
        <f>AJ11*IM27</f>
        <v>590454.85823481809</v>
      </c>
      <c r="AL15" s="299"/>
      <c r="AN15" s="222">
        <v>10</v>
      </c>
      <c r="AO15" s="18"/>
      <c r="AQ15" s="660" t="s">
        <v>48</v>
      </c>
      <c r="AR15" s="791"/>
      <c r="AS15" s="821">
        <v>7353821.8799999999</v>
      </c>
      <c r="AT15" s="822">
        <v>0.71710994198556099</v>
      </c>
      <c r="AU15" s="783"/>
      <c r="AV15" s="821">
        <v>7828448.5450000018</v>
      </c>
      <c r="AW15" s="822">
        <v>0.72540816833517452</v>
      </c>
      <c r="AX15" s="823">
        <f t="shared" si="87"/>
        <v>1.1571763078109143E-2</v>
      </c>
      <c r="AY15" s="783"/>
      <c r="AZ15" s="821">
        <v>8035314.9274999993</v>
      </c>
      <c r="BA15" s="822">
        <v>0.62282657759036675</v>
      </c>
      <c r="BB15" s="823">
        <f t="shared" si="88"/>
        <v>-0.14141223551457172</v>
      </c>
      <c r="BC15" s="783"/>
      <c r="BD15" s="821">
        <v>8562729.5753158554</v>
      </c>
      <c r="BE15" s="822">
        <v>0.58225665955417472</v>
      </c>
      <c r="BF15" s="823">
        <f t="shared" si="89"/>
        <v>-6.5138386022561279E-2</v>
      </c>
      <c r="BG15" s="783"/>
      <c r="BH15" s="821">
        <v>11045828.998199999</v>
      </c>
      <c r="BI15" s="822">
        <v>0.72687075473189988</v>
      </c>
      <c r="BJ15" s="823">
        <f t="shared" si="90"/>
        <v>0.24836829739045663</v>
      </c>
      <c r="BK15" s="783"/>
      <c r="BL15" s="821">
        <v>11568330.944249999</v>
      </c>
      <c r="BM15" s="822">
        <v>0.68771883938552769</v>
      </c>
      <c r="BN15" s="823">
        <f t="shared" si="91"/>
        <v>-5.3863654702703045E-2</v>
      </c>
      <c r="BO15" s="783"/>
      <c r="BP15" s="821">
        <v>12592679.530000001</v>
      </c>
      <c r="BQ15" s="822">
        <v>0.67892720661852923</v>
      </c>
      <c r="BR15" s="823">
        <f t="shared" si="92"/>
        <v>-1.2783760257104038E-2</v>
      </c>
      <c r="BS15" s="783"/>
      <c r="BT15" s="660">
        <v>14006160</v>
      </c>
      <c r="BU15" s="660">
        <v>0.71</v>
      </c>
      <c r="BV15" s="660">
        <f t="shared" si="93"/>
        <v>4.5767488883281304E-2</v>
      </c>
      <c r="BW15" s="237">
        <v>14529003.2212</v>
      </c>
      <c r="BX15" s="238">
        <v>0.75057613815354784</v>
      </c>
      <c r="BY15" s="824">
        <f t="shared" si="60"/>
        <v>5.71494903571097E-2</v>
      </c>
      <c r="BZ15" s="824">
        <v>16169362.853399999</v>
      </c>
      <c r="CA15" s="824">
        <v>0.79265580047847906</v>
      </c>
      <c r="CB15" s="824">
        <f t="shared" si="61"/>
        <v>5.6063149607245899E-2</v>
      </c>
      <c r="CC15" s="956">
        <v>15891148.762050001</v>
      </c>
      <c r="CD15" s="956">
        <v>0.76458980113025976</v>
      </c>
      <c r="CE15" s="723">
        <f t="shared" si="101"/>
        <v>-3.5407549318730136E-2</v>
      </c>
      <c r="CF15" s="792">
        <f t="shared" si="94"/>
        <v>16523554.25475</v>
      </c>
      <c r="CG15" s="824">
        <f t="shared" si="94"/>
        <v>0.7941824250227445</v>
      </c>
      <c r="CH15" s="723">
        <f t="shared" si="95"/>
        <v>3.8703921826761523E-2</v>
      </c>
      <c r="CI15" s="825">
        <f t="shared" si="63"/>
        <v>1.246934250568223</v>
      </c>
      <c r="CJ15" s="723">
        <f t="shared" si="96"/>
        <v>4.6002681844093063E-2</v>
      </c>
      <c r="DD15" s="12"/>
      <c r="DN15" s="12"/>
      <c r="DU15" s="12"/>
      <c r="DV15" s="12"/>
      <c r="DW15" s="12"/>
      <c r="DX15" s="12"/>
      <c r="DY15" s="12"/>
      <c r="EF15" s="29"/>
      <c r="EQ15" s="19"/>
      <c r="ER15" s="266"/>
      <c r="FG15" s="19"/>
      <c r="FH15" s="266"/>
      <c r="FJ15" s="222">
        <f t="shared" si="78"/>
        <v>10</v>
      </c>
      <c r="FK15" s="242"/>
      <c r="FL15" s="877" t="s">
        <v>214</v>
      </c>
      <c r="FM15" s="650">
        <v>38301.99</v>
      </c>
      <c r="FN15" s="650">
        <v>65518.33</v>
      </c>
      <c r="FO15" s="650">
        <v>227733.46400000001</v>
      </c>
      <c r="FP15" s="794">
        <f t="shared" si="21"/>
        <v>331553.78400000004</v>
      </c>
      <c r="FQ15" s="650">
        <v>38301.99</v>
      </c>
      <c r="FR15" s="650">
        <v>65518.33</v>
      </c>
      <c r="FS15" s="650">
        <v>229810.96400000001</v>
      </c>
      <c r="FT15" s="650">
        <v>333631.28399999999</v>
      </c>
      <c r="FU15" s="955">
        <v>333631.28399999999</v>
      </c>
      <c r="FV15" s="16"/>
      <c r="FW15" s="266"/>
      <c r="GZ15" s="222">
        <v>10</v>
      </c>
      <c r="HA15" s="663">
        <v>10</v>
      </c>
      <c r="HB15" s="663">
        <v>10</v>
      </c>
      <c r="HC15" s="663">
        <v>10</v>
      </c>
      <c r="HD15" s="682">
        <v>66218585</v>
      </c>
      <c r="HE15" s="682">
        <v>68377091</v>
      </c>
      <c r="HF15" s="724">
        <f t="shared" si="22"/>
        <v>1</v>
      </c>
      <c r="HG15" s="724">
        <f t="shared" si="23"/>
        <v>1.0325966796179653</v>
      </c>
      <c r="HH15" s="723">
        <v>0.5</v>
      </c>
      <c r="HI15" s="723">
        <v>0.5</v>
      </c>
      <c r="HJ15" s="723">
        <v>0</v>
      </c>
      <c r="HN15" s="243">
        <v>10</v>
      </c>
      <c r="HO15" s="891">
        <v>10</v>
      </c>
      <c r="HP15" s="793">
        <f t="shared" si="2"/>
        <v>1.0325966796179653</v>
      </c>
      <c r="HQ15" s="650">
        <v>0</v>
      </c>
      <c r="HR15" s="794">
        <f t="shared" si="24"/>
        <v>0</v>
      </c>
      <c r="HS15" s="650">
        <v>7192089</v>
      </c>
      <c r="HT15" s="975">
        <v>7421436</v>
      </c>
      <c r="HU15" s="650">
        <v>3251905.9609000003</v>
      </c>
      <c r="HV15" s="975">
        <v>3686139</v>
      </c>
      <c r="HW15" s="650">
        <v>225000</v>
      </c>
      <c r="HX15" s="955">
        <v>225000</v>
      </c>
      <c r="HY15" s="650">
        <f t="shared" si="25"/>
        <v>3476905.9609000003</v>
      </c>
      <c r="HZ15" s="650">
        <f t="shared" si="25"/>
        <v>3911139</v>
      </c>
      <c r="IA15" s="206"/>
      <c r="IB15" s="207"/>
      <c r="IC15" s="206"/>
      <c r="ID15" s="244">
        <v>10</v>
      </c>
      <c r="IE15" s="891">
        <v>10</v>
      </c>
      <c r="IF15" s="899">
        <f t="shared" si="3"/>
        <v>1</v>
      </c>
      <c r="IG15" s="900">
        <f t="shared" si="3"/>
        <v>1.0325966796179653</v>
      </c>
      <c r="IH15" s="955">
        <v>868571.60226464225</v>
      </c>
      <c r="II15" s="794">
        <f t="shared" si="64"/>
        <v>896884.15250892553</v>
      </c>
      <c r="IJ15" s="955">
        <v>55419.501999999993</v>
      </c>
      <c r="IK15" s="794">
        <f t="shared" si="26"/>
        <v>57225.993751281181</v>
      </c>
      <c r="IL15" s="955">
        <v>516575.9077353577</v>
      </c>
      <c r="IM15" s="794">
        <f t="shared" si="82"/>
        <v>516575.9077353577</v>
      </c>
      <c r="IN15" s="955">
        <v>765934.96395878121</v>
      </c>
      <c r="IO15" s="995">
        <v>780068.43343405006</v>
      </c>
      <c r="IP15" s="955">
        <v>75147.020000000019</v>
      </c>
      <c r="IQ15" s="794">
        <f t="shared" si="27"/>
        <v>77596.563335184852</v>
      </c>
      <c r="IR15" s="955">
        <v>56302.500000000007</v>
      </c>
      <c r="IS15" s="794">
        <f t="shared" si="28"/>
        <v>58137.774554190502</v>
      </c>
      <c r="IT15" s="955">
        <v>132365.25</v>
      </c>
      <c r="IU15" s="794">
        <f t="shared" si="29"/>
        <v>136679.91764680188</v>
      </c>
      <c r="IV15" s="955">
        <v>335051.89025</v>
      </c>
      <c r="IW15" s="794">
        <f t="shared" si="30"/>
        <v>345973.4693718729</v>
      </c>
      <c r="IX15" s="650">
        <f t="shared" si="31"/>
        <v>2805368.6362087815</v>
      </c>
      <c r="IY15" s="650">
        <f t="shared" si="31"/>
        <v>2869142.2123376648</v>
      </c>
      <c r="IZ15" s="683">
        <f t="shared" si="4"/>
        <v>4.1960577298289348</v>
      </c>
      <c r="JD15" s="222">
        <v>10</v>
      </c>
      <c r="JE15" s="663">
        <v>10</v>
      </c>
      <c r="JF15" s="660">
        <f t="shared" si="5"/>
        <v>10</v>
      </c>
      <c r="JG15" s="660">
        <f t="shared" si="32"/>
        <v>10</v>
      </c>
      <c r="JH15" s="905">
        <f t="shared" si="6"/>
        <v>68377091</v>
      </c>
      <c r="JI15" s="905">
        <f t="shared" si="83"/>
        <v>68017182.354851335</v>
      </c>
      <c r="JJ15" s="906">
        <f t="shared" si="33"/>
        <v>1</v>
      </c>
      <c r="JK15" s="906">
        <f t="shared" si="34"/>
        <v>0.99473641478622332</v>
      </c>
      <c r="JL15" s="906">
        <f t="shared" si="35"/>
        <v>1.0272605182318655</v>
      </c>
      <c r="JM15" s="663" t="s">
        <v>238</v>
      </c>
      <c r="JN15" s="209"/>
      <c r="JO15" s="210"/>
      <c r="JP15" s="209"/>
      <c r="JQ15" s="222">
        <v>10</v>
      </c>
      <c r="JR15" s="663">
        <v>10</v>
      </c>
      <c r="JS15" s="914" t="str">
        <f t="shared" si="7"/>
        <v>Q3</v>
      </c>
      <c r="JT15" s="913">
        <f t="shared" si="8"/>
        <v>1.0272605182318655</v>
      </c>
      <c r="JU15" s="671">
        <f t="shared" si="36"/>
        <v>0</v>
      </c>
      <c r="JV15" s="671">
        <f t="shared" si="37"/>
        <v>0</v>
      </c>
      <c r="JW15" s="671">
        <f t="shared" si="9"/>
        <v>7421436</v>
      </c>
      <c r="JX15" s="671">
        <f t="shared" si="38"/>
        <v>7505007.9125139583</v>
      </c>
      <c r="JY15" s="671">
        <f t="shared" si="10"/>
        <v>3686139</v>
      </c>
      <c r="JZ15" s="671">
        <f t="shared" si="11"/>
        <v>3368000.7666120585</v>
      </c>
      <c r="KA15" s="671">
        <f t="shared" si="39"/>
        <v>225000</v>
      </c>
      <c r="KB15" s="671">
        <f t="shared" si="40"/>
        <v>148018.77972971628</v>
      </c>
      <c r="KC15" s="671">
        <f t="shared" si="41"/>
        <v>3911139</v>
      </c>
      <c r="KD15" s="671">
        <f t="shared" si="41"/>
        <v>3516019.546341775</v>
      </c>
      <c r="KE15" s="211"/>
      <c r="KF15" s="210"/>
      <c r="KG15" s="209"/>
      <c r="KH15" s="245">
        <f t="shared" si="65"/>
        <v>10</v>
      </c>
      <c r="KI15" s="917">
        <v>9</v>
      </c>
      <c r="KJ15" s="918">
        <f t="shared" si="66"/>
        <v>1</v>
      </c>
      <c r="KK15" s="918">
        <f t="shared" si="66"/>
        <v>0.99473641478622321</v>
      </c>
      <c r="KL15" s="898">
        <v>1.6626666699999999</v>
      </c>
      <c r="KM15" s="801">
        <f t="shared" si="67"/>
        <v>828080.070909295</v>
      </c>
      <c r="KN15" s="898">
        <v>1.6626666699999999</v>
      </c>
      <c r="KO15" s="801">
        <f t="shared" si="42"/>
        <v>107835.59231139095</v>
      </c>
      <c r="KP15" s="898">
        <v>1.6626666699999999</v>
      </c>
      <c r="KQ15" s="801">
        <f t="shared" si="43"/>
        <v>581022.92863022629</v>
      </c>
      <c r="KR15" s="898">
        <v>1.6626666699999999</v>
      </c>
      <c r="KS15" s="801">
        <f t="shared" si="68"/>
        <v>685511.6727422016</v>
      </c>
      <c r="KT15" s="898">
        <v>1.6626666699999999</v>
      </c>
      <c r="KU15" s="801">
        <f t="shared" si="44"/>
        <v>69737.74245712308</v>
      </c>
      <c r="KV15" s="898">
        <v>1.6626666699999999</v>
      </c>
      <c r="KW15" s="801">
        <f t="shared" si="45"/>
        <v>74113.120058824075</v>
      </c>
      <c r="KX15" s="898">
        <v>1.6626666699999999</v>
      </c>
      <c r="KY15" s="801">
        <f t="shared" si="46"/>
        <v>73461.717317946415</v>
      </c>
      <c r="KZ15" s="898">
        <v>1.6626666699999999</v>
      </c>
      <c r="LA15" s="919">
        <f t="shared" si="47"/>
        <v>868348.67229770205</v>
      </c>
      <c r="LB15" s="646">
        <f t="shared" si="48"/>
        <v>3202003.7918779361</v>
      </c>
      <c r="LC15" s="646">
        <f t="shared" si="79"/>
        <v>3288111.5167247094</v>
      </c>
      <c r="LD15" s="16"/>
      <c r="LE15" s="220"/>
      <c r="LG15" s="222">
        <v>10</v>
      </c>
      <c r="LH15" s="922">
        <v>10</v>
      </c>
      <c r="LI15" s="650">
        <f t="shared" si="12"/>
        <v>3476905.9609000003</v>
      </c>
      <c r="LJ15" s="650">
        <f t="shared" si="12"/>
        <v>3911139</v>
      </c>
      <c r="LK15" s="794">
        <f t="shared" si="13"/>
        <v>3516019.546341775</v>
      </c>
      <c r="LL15" s="650">
        <f t="shared" si="14"/>
        <v>2805368.6362087815</v>
      </c>
      <c r="LM15" s="650">
        <f t="shared" si="14"/>
        <v>2869142.2123376648</v>
      </c>
      <c r="LN15" s="794">
        <f t="shared" si="49"/>
        <v>2947356.5159269106</v>
      </c>
      <c r="LO15" s="650">
        <f t="shared" si="50"/>
        <v>671537.32469121879</v>
      </c>
      <c r="LP15" s="650">
        <f t="shared" si="50"/>
        <v>1041996.7876623352</v>
      </c>
      <c r="LQ15" s="650">
        <f t="shared" si="50"/>
        <v>568663.03041486442</v>
      </c>
      <c r="MA15" s="192">
        <f t="shared" si="80"/>
        <v>9</v>
      </c>
      <c r="MB15" s="814" t="s">
        <v>57</v>
      </c>
      <c r="MC15" s="860">
        <f t="shared" si="102"/>
        <v>1983407.3772948217</v>
      </c>
      <c r="MD15" s="928">
        <f t="shared" si="103"/>
        <v>9.0876832324627607E-2</v>
      </c>
      <c r="ME15" s="796"/>
      <c r="MF15" s="798">
        <f t="shared" si="104"/>
        <v>1983407.3772948217</v>
      </c>
      <c r="MG15" s="928">
        <f t="shared" si="105"/>
        <v>9.0876832324627607E-2</v>
      </c>
      <c r="MK15" s="192">
        <f t="shared" si="81"/>
        <v>9</v>
      </c>
      <c r="ML15" s="253" t="str">
        <f t="shared" si="53"/>
        <v>Contract Labour</v>
      </c>
      <c r="MM15" s="979">
        <v>2011456.9761871099</v>
      </c>
      <c r="MN15" s="860">
        <f t="shared" si="106"/>
        <v>1983407.3772948217</v>
      </c>
      <c r="MO15" s="860">
        <f t="shared" si="70"/>
        <v>-28049.598892288283</v>
      </c>
      <c r="MP15" s="802">
        <f t="shared" si="71"/>
        <v>-1.394491615995621E-2</v>
      </c>
    </row>
    <row r="16" spans="1:405" s="29" customFormat="1" ht="16.5" x14ac:dyDescent="0.3">
      <c r="B16" s="181">
        <f t="shared" si="72"/>
        <v>11</v>
      </c>
      <c r="C16" s="251"/>
      <c r="D16" s="796" t="s">
        <v>48</v>
      </c>
      <c r="E16" s="797"/>
      <c r="F16" s="798">
        <f>DN9</f>
        <v>16523554.25475</v>
      </c>
      <c r="G16" s="799">
        <f t="shared" si="97"/>
        <v>0.7941824250227445</v>
      </c>
      <c r="H16" s="798">
        <f>DP9</f>
        <v>17962433.615376391</v>
      </c>
      <c r="I16" s="800">
        <f t="shared" si="98"/>
        <v>0.85881766560449857</v>
      </c>
      <c r="J16" s="801">
        <f t="shared" si="54"/>
        <v>1438879.3606263902</v>
      </c>
      <c r="K16" s="798">
        <f>IM26</f>
        <v>18604918.663317382</v>
      </c>
      <c r="L16" s="800">
        <f t="shared" si="99"/>
        <v>0.84796328498256912</v>
      </c>
      <c r="M16" s="801">
        <f t="shared" si="55"/>
        <v>642485.04794099182</v>
      </c>
      <c r="N16" s="798">
        <f>KQ27</f>
        <v>19173425.776259005</v>
      </c>
      <c r="O16" s="800">
        <f t="shared" si="100"/>
        <v>0.87849839589397793</v>
      </c>
      <c r="P16" s="801">
        <f t="shared" si="56"/>
        <v>568507.11294162273</v>
      </c>
      <c r="Q16" s="798">
        <f t="shared" si="57"/>
        <v>2649871.5215090048</v>
      </c>
      <c r="R16" s="802">
        <f t="shared" si="58"/>
        <v>0.1061670067413274</v>
      </c>
      <c r="S16" s="12"/>
      <c r="T16" s="13"/>
      <c r="U16" s="12"/>
      <c r="V16" s="165">
        <f t="shared" si="59"/>
        <v>8</v>
      </c>
      <c r="W16" s="808" t="s">
        <v>132</v>
      </c>
      <c r="X16" s="650">
        <f>X14-X10</f>
        <v>2576756.5991441193</v>
      </c>
      <c r="Y16" s="650">
        <f t="shared" ref="Y16:AA16" si="107">Y14-Y10</f>
        <v>4998445.2571030203</v>
      </c>
      <c r="Z16" s="650">
        <f t="shared" si="107"/>
        <v>9937088.2862379495</v>
      </c>
      <c r="AA16" s="650">
        <f t="shared" si="107"/>
        <v>17512290.14248509</v>
      </c>
      <c r="AB16" s="230"/>
      <c r="AC16" s="234"/>
      <c r="AD16" s="13"/>
      <c r="AE16" s="12"/>
      <c r="AF16" s="252">
        <f t="shared" si="73"/>
        <v>10</v>
      </c>
      <c r="AG16" s="814" t="s">
        <v>180</v>
      </c>
      <c r="AH16" s="815">
        <f>AH15*3600/$K$24</f>
        <v>3.0451184708403782</v>
      </c>
      <c r="AI16" s="815">
        <f>AI15*3600/$K$24</f>
        <v>0.15128923398834065</v>
      </c>
      <c r="AJ16" s="815">
        <f>AJ15*3600/$K$24</f>
        <v>0.96880969007169926</v>
      </c>
      <c r="AK16" s="12"/>
      <c r="AL16" s="299"/>
      <c r="AM16" s="12"/>
      <c r="AN16" s="192">
        <f>AN15+1</f>
        <v>11</v>
      </c>
      <c r="AO16" s="254"/>
      <c r="AP16" s="254"/>
      <c r="AQ16" s="804" t="s">
        <v>49</v>
      </c>
      <c r="AR16" s="797"/>
      <c r="AS16" s="827">
        <v>3443976.8344000001</v>
      </c>
      <c r="AT16" s="828">
        <v>0.33584033829171284</v>
      </c>
      <c r="AU16" s="829"/>
      <c r="AV16" s="827">
        <v>5716425.9886499979</v>
      </c>
      <c r="AW16" s="828">
        <v>0.52970164931322072</v>
      </c>
      <c r="AX16" s="830">
        <f t="shared" si="87"/>
        <v>0.57724248375762066</v>
      </c>
      <c r="AY16" s="829"/>
      <c r="AZ16" s="827">
        <v>7023487.4984412417</v>
      </c>
      <c r="BA16" s="828">
        <v>0.54439866027303074</v>
      </c>
      <c r="BB16" s="830">
        <f t="shared" si="88"/>
        <v>2.7745828201338085E-2</v>
      </c>
      <c r="BC16" s="829"/>
      <c r="BD16" s="827">
        <v>8390599.8471698686</v>
      </c>
      <c r="BE16" s="828">
        <v>0.57055201798647071</v>
      </c>
      <c r="BF16" s="830">
        <f t="shared" si="89"/>
        <v>4.8040819388356581E-2</v>
      </c>
      <c r="BG16" s="829"/>
      <c r="BH16" s="827">
        <v>9500186.8885000013</v>
      </c>
      <c r="BI16" s="828">
        <v>0.62515977885076657</v>
      </c>
      <c r="BJ16" s="830">
        <f t="shared" si="90"/>
        <v>9.5710398250822948E-2</v>
      </c>
      <c r="BK16" s="829"/>
      <c r="BL16" s="827">
        <v>10661854.069499999</v>
      </c>
      <c r="BM16" s="828">
        <v>0.63383023373989222</v>
      </c>
      <c r="BN16" s="830">
        <f t="shared" si="91"/>
        <v>1.386918221940725E-2</v>
      </c>
      <c r="BO16" s="829"/>
      <c r="BP16" s="827">
        <v>13069899.7289</v>
      </c>
      <c r="BQ16" s="828">
        <v>0.70465626418798799</v>
      </c>
      <c r="BR16" s="830">
        <f t="shared" si="92"/>
        <v>0.11174290319063718</v>
      </c>
      <c r="BS16" s="829"/>
      <c r="BT16" s="796">
        <v>15592449</v>
      </c>
      <c r="BU16" s="796">
        <v>0.79</v>
      </c>
      <c r="BV16" s="796">
        <f t="shared" si="93"/>
        <v>0.12111399578680837</v>
      </c>
      <c r="BW16" s="258">
        <v>21298745.488500003</v>
      </c>
      <c r="BX16" s="259">
        <v>1.100304672859262</v>
      </c>
      <c r="BY16" s="831">
        <f t="shared" si="60"/>
        <v>0.39279072513830626</v>
      </c>
      <c r="BZ16" s="831">
        <v>23700279.210100003</v>
      </c>
      <c r="CA16" s="831">
        <v>1.1618369851162706</v>
      </c>
      <c r="CB16" s="831">
        <f t="shared" si="61"/>
        <v>5.5922976403535829E-2</v>
      </c>
      <c r="CC16" s="956">
        <v>24697713.659500003</v>
      </c>
      <c r="CD16" s="956">
        <v>1.1883105657147701</v>
      </c>
      <c r="CE16" s="802">
        <f t="shared" si="101"/>
        <v>2.2785968201769924E-2</v>
      </c>
      <c r="CF16" s="798">
        <f t="shared" si="94"/>
        <v>25788943.3565</v>
      </c>
      <c r="CG16" s="831">
        <f t="shared" si="94"/>
        <v>1.2395108980715628</v>
      </c>
      <c r="CH16" s="802">
        <f t="shared" si="95"/>
        <v>4.30866591899699E-2</v>
      </c>
      <c r="CI16" s="832">
        <f t="shared" si="63"/>
        <v>6.4881291589735319</v>
      </c>
      <c r="CJ16" s="802">
        <f t="shared" si="96"/>
        <v>0.11834627601791059</v>
      </c>
      <c r="CK16" s="12"/>
      <c r="CL16" s="13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3"/>
      <c r="CZ16" s="12"/>
      <c r="DA16" s="12"/>
      <c r="DB16" s="12"/>
      <c r="DC16" s="12"/>
      <c r="DD16" s="12"/>
      <c r="DE16" s="12"/>
      <c r="DF16" s="12"/>
      <c r="DG16" s="12"/>
      <c r="DH16" s="12"/>
      <c r="DI16" s="13"/>
      <c r="DJ16" s="12"/>
      <c r="DK16" s="12"/>
      <c r="DL16" s="12"/>
      <c r="DM16" s="12"/>
      <c r="DN16" s="12"/>
      <c r="DO16" s="12"/>
      <c r="DP16" s="12"/>
      <c r="DQ16" s="12"/>
      <c r="DR16" s="1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3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311"/>
      <c r="ER16" s="266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311"/>
      <c r="FH16" s="266"/>
      <c r="FI16" s="12"/>
      <c r="FJ16" s="192">
        <f t="shared" si="78"/>
        <v>11</v>
      </c>
      <c r="FK16" s="265"/>
      <c r="FL16" s="878" t="s">
        <v>215</v>
      </c>
      <c r="FM16" s="860">
        <v>82960.8465</v>
      </c>
      <c r="FN16" s="860">
        <v>247179.69999999995</v>
      </c>
      <c r="FO16" s="860">
        <v>496871.88333999994</v>
      </c>
      <c r="FP16" s="801">
        <f t="shared" si="21"/>
        <v>827012.42983999988</v>
      </c>
      <c r="FQ16" s="860">
        <v>82980.54377272728</v>
      </c>
      <c r="FR16" s="860">
        <v>247179.69999999995</v>
      </c>
      <c r="FS16" s="860">
        <v>496871.88333999994</v>
      </c>
      <c r="FT16" s="860">
        <v>827032.12711272715</v>
      </c>
      <c r="FU16" s="955">
        <v>827032.12711272715</v>
      </c>
      <c r="FV16" s="16"/>
      <c r="FW16" s="266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3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3"/>
      <c r="GX16" s="12"/>
      <c r="GY16" s="12"/>
      <c r="GZ16" s="192">
        <v>11</v>
      </c>
      <c r="HA16" s="886">
        <v>11</v>
      </c>
      <c r="HB16" s="886">
        <v>10</v>
      </c>
      <c r="HC16" s="886">
        <v>10</v>
      </c>
      <c r="HD16" s="887">
        <v>81129366</v>
      </c>
      <c r="HE16" s="887">
        <v>83360260</v>
      </c>
      <c r="HF16" s="800">
        <f t="shared" si="22"/>
        <v>1</v>
      </c>
      <c r="HG16" s="800">
        <f t="shared" si="23"/>
        <v>1.0274979838989498</v>
      </c>
      <c r="HH16" s="802">
        <v>0</v>
      </c>
      <c r="HI16" s="802">
        <v>1</v>
      </c>
      <c r="HJ16" s="802">
        <v>0</v>
      </c>
      <c r="HK16" s="12"/>
      <c r="HL16" s="13"/>
      <c r="HM16" s="12"/>
      <c r="HN16" s="267">
        <v>11</v>
      </c>
      <c r="HO16" s="892">
        <v>11</v>
      </c>
      <c r="HP16" s="799">
        <f t="shared" si="2"/>
        <v>1.0274979838989498</v>
      </c>
      <c r="HQ16" s="860">
        <v>2581.4899999999998</v>
      </c>
      <c r="HR16" s="801">
        <f t="shared" si="24"/>
        <v>2652.4757704552994</v>
      </c>
      <c r="HS16" s="860">
        <v>8836266</v>
      </c>
      <c r="HT16" s="975">
        <v>9087731</v>
      </c>
      <c r="HU16" s="860">
        <v>3929506.6488000001</v>
      </c>
      <c r="HV16" s="975">
        <v>4562596</v>
      </c>
      <c r="HW16" s="860">
        <v>225000</v>
      </c>
      <c r="HX16" s="955">
        <v>225000</v>
      </c>
      <c r="HY16" s="860">
        <f t="shared" si="25"/>
        <v>4157088.1388000003</v>
      </c>
      <c r="HZ16" s="860">
        <f t="shared" si="25"/>
        <v>4790248.4757704549</v>
      </c>
      <c r="IA16" s="206"/>
      <c r="IB16" s="207"/>
      <c r="IC16" s="206"/>
      <c r="ID16" s="208">
        <v>11</v>
      </c>
      <c r="IE16" s="892">
        <v>11</v>
      </c>
      <c r="IF16" s="896">
        <f t="shared" si="3"/>
        <v>1</v>
      </c>
      <c r="IG16" s="897">
        <f t="shared" si="3"/>
        <v>1.0274979838989498</v>
      </c>
      <c r="IH16" s="955">
        <v>1423641.7045909851</v>
      </c>
      <c r="II16" s="801">
        <f t="shared" si="64"/>
        <v>1462788.9812617013</v>
      </c>
      <c r="IJ16" s="955">
        <v>82670.929999999993</v>
      </c>
      <c r="IK16" s="801">
        <f t="shared" si="26"/>
        <v>84944.213902051197</v>
      </c>
      <c r="IL16" s="955">
        <v>693581.72540901485</v>
      </c>
      <c r="IM16" s="801">
        <f t="shared" si="82"/>
        <v>693581.72540901485</v>
      </c>
      <c r="IN16" s="955">
        <v>1097311.9781036684</v>
      </c>
      <c r="IO16" s="995">
        <v>1097311.9781036684</v>
      </c>
      <c r="IP16" s="955">
        <v>115389.88249999999</v>
      </c>
      <c r="IQ16" s="801">
        <f t="shared" si="27"/>
        <v>118562.8716310867</v>
      </c>
      <c r="IR16" s="955">
        <v>62157.794999999998</v>
      </c>
      <c r="IS16" s="801">
        <f t="shared" si="28"/>
        <v>63867.00904610422</v>
      </c>
      <c r="IT16" s="955">
        <v>135787.78999999998</v>
      </c>
      <c r="IU16" s="801">
        <f t="shared" si="29"/>
        <v>139521.68046309394</v>
      </c>
      <c r="IV16" s="955">
        <v>373475.82789999997</v>
      </c>
      <c r="IW16" s="801">
        <f t="shared" si="30"/>
        <v>383745.6602022411</v>
      </c>
      <c r="IX16" s="860">
        <f t="shared" si="31"/>
        <v>3984017.633503668</v>
      </c>
      <c r="IY16" s="860">
        <f t="shared" si="31"/>
        <v>4044324.1200189614</v>
      </c>
      <c r="IZ16" s="898">
        <f t="shared" si="4"/>
        <v>4.8516212881521259</v>
      </c>
      <c r="JA16" s="12"/>
      <c r="JB16" s="13"/>
      <c r="JC16" s="12"/>
      <c r="JD16" s="192">
        <v>11</v>
      </c>
      <c r="JE16" s="886">
        <v>11</v>
      </c>
      <c r="JF16" s="796">
        <f t="shared" si="5"/>
        <v>10</v>
      </c>
      <c r="JG16" s="796">
        <f t="shared" si="32"/>
        <v>10</v>
      </c>
      <c r="JH16" s="859">
        <f t="shared" si="6"/>
        <v>83360260</v>
      </c>
      <c r="JI16" s="859">
        <f t="shared" si="83"/>
        <v>82921486.168047413</v>
      </c>
      <c r="JJ16" s="904">
        <f t="shared" si="33"/>
        <v>1</v>
      </c>
      <c r="JK16" s="904">
        <f t="shared" si="34"/>
        <v>0.99473641478622321</v>
      </c>
      <c r="JL16" s="904">
        <f t="shared" si="35"/>
        <v>1.0409851740753338</v>
      </c>
      <c r="JM16" s="886" t="s">
        <v>425</v>
      </c>
      <c r="JN16" s="209"/>
      <c r="JO16" s="210"/>
      <c r="JP16" s="209"/>
      <c r="JQ16" s="192">
        <v>11</v>
      </c>
      <c r="JR16" s="886">
        <v>11</v>
      </c>
      <c r="JS16" s="910" t="str">
        <f t="shared" si="7"/>
        <v>Q2</v>
      </c>
      <c r="JT16" s="911">
        <f t="shared" si="8"/>
        <v>1.0409851740753338</v>
      </c>
      <c r="JU16" s="860">
        <f t="shared" si="36"/>
        <v>2652.4757704552994</v>
      </c>
      <c r="JV16" s="860">
        <f t="shared" si="37"/>
        <v>2761.187951638015</v>
      </c>
      <c r="JW16" s="860">
        <f t="shared" si="9"/>
        <v>9087731</v>
      </c>
      <c r="JX16" s="860">
        <f t="shared" si="38"/>
        <v>9149547.0447729472</v>
      </c>
      <c r="JY16" s="860">
        <f t="shared" si="10"/>
        <v>4562596</v>
      </c>
      <c r="JZ16" s="860">
        <f t="shared" si="11"/>
        <v>4106015.8523705043</v>
      </c>
      <c r="KA16" s="860">
        <f t="shared" si="39"/>
        <v>225000</v>
      </c>
      <c r="KB16" s="860">
        <f t="shared" si="40"/>
        <v>180453.47912141916</v>
      </c>
      <c r="KC16" s="860">
        <f t="shared" si="41"/>
        <v>4790248.4757704549</v>
      </c>
      <c r="KD16" s="860">
        <f t="shared" si="41"/>
        <v>4289230.5194435613</v>
      </c>
      <c r="KE16" s="211"/>
      <c r="KF16" s="210"/>
      <c r="KG16" s="209"/>
      <c r="KH16" s="243">
        <f t="shared" si="65"/>
        <v>11</v>
      </c>
      <c r="KI16" s="891">
        <v>10</v>
      </c>
      <c r="KJ16" s="920">
        <f t="shared" si="66"/>
        <v>1</v>
      </c>
      <c r="KK16" s="920">
        <f t="shared" si="66"/>
        <v>0.99473641478622332</v>
      </c>
      <c r="KL16" s="683">
        <v>1.6626666699999999</v>
      </c>
      <c r="KM16" s="794">
        <f t="shared" si="67"/>
        <v>919135.70771354914</v>
      </c>
      <c r="KN16" s="683">
        <v>1.6626666699999999</v>
      </c>
      <c r="KO16" s="794">
        <f t="shared" si="42"/>
        <v>58645.76168400023</v>
      </c>
      <c r="KP16" s="683">
        <v>1.6626666699999999</v>
      </c>
      <c r="KQ16" s="794">
        <f t="shared" si="43"/>
        <v>532193.31990377733</v>
      </c>
      <c r="KR16" s="683">
        <v>1.6626666699999999</v>
      </c>
      <c r="KS16" s="794">
        <f t="shared" si="68"/>
        <v>803651.89921727066</v>
      </c>
      <c r="KT16" s="683">
        <v>1.6626666699999999</v>
      </c>
      <c r="KU16" s="794">
        <f t="shared" si="44"/>
        <v>79521.721905454891</v>
      </c>
      <c r="KV16" s="683">
        <v>1.6626666699999999</v>
      </c>
      <c r="KW16" s="794">
        <f t="shared" si="45"/>
        <v>59580.163625675028</v>
      </c>
      <c r="KX16" s="683">
        <v>1.6626666699999999</v>
      </c>
      <c r="KY16" s="794">
        <f t="shared" si="46"/>
        <v>140070.92497408428</v>
      </c>
      <c r="KZ16" s="683">
        <v>1.6626666699999999</v>
      </c>
      <c r="LA16" s="794">
        <f t="shared" si="47"/>
        <v>354557.01690309856</v>
      </c>
      <c r="LB16" s="650">
        <f t="shared" si="48"/>
        <v>2869142.2123376648</v>
      </c>
      <c r="LC16" s="650">
        <f t="shared" si="79"/>
        <v>2947356.5159269106</v>
      </c>
      <c r="LD16" s="16"/>
      <c r="LE16" s="220"/>
      <c r="LF16" s="12"/>
      <c r="LG16" s="192">
        <v>11</v>
      </c>
      <c r="LH16" s="921">
        <v>11</v>
      </c>
      <c r="LI16" s="860">
        <f t="shared" si="12"/>
        <v>4157088.1388000003</v>
      </c>
      <c r="LJ16" s="860">
        <f t="shared" si="12"/>
        <v>4790248.4757704549</v>
      </c>
      <c r="LK16" s="801">
        <f t="shared" si="13"/>
        <v>4289230.5194435613</v>
      </c>
      <c r="LL16" s="860">
        <f t="shared" si="14"/>
        <v>3984017.633503668</v>
      </c>
      <c r="LM16" s="860">
        <f t="shared" si="14"/>
        <v>4044324.1200189614</v>
      </c>
      <c r="LN16" s="801">
        <f t="shared" si="49"/>
        <v>4210081.4480950097</v>
      </c>
      <c r="LO16" s="860">
        <f t="shared" si="50"/>
        <v>173070.5052963323</v>
      </c>
      <c r="LP16" s="860">
        <f t="shared" si="50"/>
        <v>745924.35575149348</v>
      </c>
      <c r="LQ16" s="860">
        <f t="shared" si="50"/>
        <v>79149.071348551661</v>
      </c>
      <c r="LR16" s="12"/>
      <c r="LS16" s="13"/>
      <c r="LT16" s="12"/>
      <c r="LU16" s="12"/>
      <c r="LV16" s="12"/>
      <c r="LW16" s="12"/>
      <c r="LX16" s="12"/>
      <c r="LY16" s="13"/>
      <c r="LZ16" s="12"/>
      <c r="MA16" s="222">
        <f t="shared" si="80"/>
        <v>10</v>
      </c>
      <c r="MB16" s="812" t="s">
        <v>48</v>
      </c>
      <c r="MC16" s="650">
        <f t="shared" si="102"/>
        <v>19173425.776259005</v>
      </c>
      <c r="MD16" s="747">
        <f t="shared" si="103"/>
        <v>0.87849839589397793</v>
      </c>
      <c r="ME16" s="660"/>
      <c r="MF16" s="792">
        <f t="shared" si="104"/>
        <v>19173425.776259005</v>
      </c>
      <c r="MG16" s="747">
        <f t="shared" si="105"/>
        <v>0.87849839589397793</v>
      </c>
      <c r="MH16" s="12"/>
      <c r="MI16" s="13"/>
      <c r="MJ16" s="12"/>
      <c r="MK16" s="222">
        <f t="shared" si="81"/>
        <v>10</v>
      </c>
      <c r="ML16" s="231" t="str">
        <f t="shared" si="53"/>
        <v>Overhead Labour</v>
      </c>
      <c r="MM16" s="979">
        <v>15711197.861928774</v>
      </c>
      <c r="MN16" s="650">
        <f t="shared" si="106"/>
        <v>19173425.776259005</v>
      </c>
      <c r="MO16" s="650">
        <f t="shared" si="70"/>
        <v>3462227.914330231</v>
      </c>
      <c r="MP16" s="823">
        <f t="shared" si="71"/>
        <v>0.22036689657635011</v>
      </c>
      <c r="MQ16" s="12"/>
      <c r="MR16" s="13"/>
      <c r="MS16" s="12"/>
    </row>
    <row r="17" spans="1:357" ht="16.5" x14ac:dyDescent="0.3">
      <c r="B17" s="143">
        <f t="shared" si="72"/>
        <v>12</v>
      </c>
      <c r="C17" s="223"/>
      <c r="D17" s="660" t="s">
        <v>49</v>
      </c>
      <c r="E17" s="791"/>
      <c r="F17" s="792">
        <f>DY12</f>
        <v>25788943.3565</v>
      </c>
      <c r="G17" s="793">
        <f t="shared" si="97"/>
        <v>1.2395108980715628</v>
      </c>
      <c r="H17" s="792">
        <f>EC12</f>
        <v>23103829.087177198</v>
      </c>
      <c r="I17" s="724">
        <f t="shared" si="98"/>
        <v>1.1046374332144782</v>
      </c>
      <c r="J17" s="794">
        <f t="shared" si="54"/>
        <v>-2685114.2693228014</v>
      </c>
      <c r="K17" s="792">
        <f>IO26</f>
        <v>24327750.680698965</v>
      </c>
      <c r="L17" s="724">
        <f t="shared" si="99"/>
        <v>1.1087949244366184</v>
      </c>
      <c r="M17" s="794">
        <f t="shared" si="55"/>
        <v>1223921.5935217664</v>
      </c>
      <c r="N17" s="792">
        <f>KS27</f>
        <v>25073716.728897151</v>
      </c>
      <c r="O17" s="724">
        <f t="shared" si="100"/>
        <v>1.1488411190821608</v>
      </c>
      <c r="P17" s="794">
        <f t="shared" si="56"/>
        <v>745966.04819818586</v>
      </c>
      <c r="Q17" s="792">
        <f t="shared" si="57"/>
        <v>-715226.62760284916</v>
      </c>
      <c r="R17" s="723">
        <f t="shared" si="58"/>
        <v>-7.3149642435953122E-2</v>
      </c>
      <c r="V17" s="185"/>
      <c r="W17" s="186" t="s">
        <v>26</v>
      </c>
      <c r="X17" s="269"/>
      <c r="Y17" s="270"/>
      <c r="Z17" s="270"/>
      <c r="AA17" s="270"/>
      <c r="AB17" s="230" t="s">
        <v>430</v>
      </c>
      <c r="AC17" s="236"/>
      <c r="AF17" s="271">
        <f t="shared" si="73"/>
        <v>11</v>
      </c>
      <c r="AG17" s="816" t="s">
        <v>187</v>
      </c>
      <c r="AH17" s="818">
        <f>II26/AH15</f>
        <v>20.884539615581581</v>
      </c>
      <c r="AI17" s="818">
        <f>IK26/AI15</f>
        <v>20.908056285798974</v>
      </c>
      <c r="AJ17" s="818">
        <f>IM26/AJ15</f>
        <v>31.509468342655907</v>
      </c>
      <c r="AL17" s="299"/>
      <c r="AN17" s="222">
        <f t="shared" ref="AN17:AN20" si="108">AN16+1</f>
        <v>12</v>
      </c>
      <c r="AO17" s="18"/>
      <c r="AQ17" s="660" t="s">
        <v>216</v>
      </c>
      <c r="AR17" s="791"/>
      <c r="AS17" s="821">
        <v>1216501.406</v>
      </c>
      <c r="AT17" s="822">
        <v>0.11862746567938538</v>
      </c>
      <c r="AU17" s="783"/>
      <c r="AV17" s="821">
        <v>2361150.2250000001</v>
      </c>
      <c r="AW17" s="822">
        <v>0.2187914565748014</v>
      </c>
      <c r="AX17" s="823">
        <f t="shared" si="87"/>
        <v>0.84435750457764458</v>
      </c>
      <c r="AY17" s="783"/>
      <c r="AZ17" s="821">
        <v>2483160.2930935998</v>
      </c>
      <c r="BA17" s="822">
        <v>0.19247263373122833</v>
      </c>
      <c r="BB17" s="823">
        <f t="shared" si="88"/>
        <v>-0.12029182151623485</v>
      </c>
      <c r="BC17" s="783"/>
      <c r="BD17" s="821">
        <v>3556357.1057280144</v>
      </c>
      <c r="BE17" s="822">
        <v>0.24182856533648778</v>
      </c>
      <c r="BF17" s="823">
        <f t="shared" si="89"/>
        <v>0.25643090473932428</v>
      </c>
      <c r="BG17" s="783"/>
      <c r="BH17" s="821">
        <v>3747904.7313999999</v>
      </c>
      <c r="BI17" s="822">
        <v>0.24663086321723002</v>
      </c>
      <c r="BJ17" s="823">
        <f t="shared" si="90"/>
        <v>1.9858273872898957E-2</v>
      </c>
      <c r="BK17" s="783"/>
      <c r="BL17" s="821">
        <v>4022436.6702577379</v>
      </c>
      <c r="BM17" s="822">
        <v>0.23912744990636886</v>
      </c>
      <c r="BN17" s="823">
        <f t="shared" si="91"/>
        <v>-3.0423659119468094E-2</v>
      </c>
      <c r="BO17" s="783"/>
      <c r="BP17" s="813">
        <v>5745533.5202000001</v>
      </c>
      <c r="BQ17" s="822">
        <v>0.30976719562421123</v>
      </c>
      <c r="BR17" s="823">
        <f t="shared" si="92"/>
        <v>0.29540626032478334</v>
      </c>
      <c r="BS17" s="783"/>
      <c r="BT17" s="660">
        <v>6723403</v>
      </c>
      <c r="BU17" s="660">
        <v>0.34</v>
      </c>
      <c r="BV17" s="660">
        <f t="shared" si="93"/>
        <v>9.759847008611322E-2</v>
      </c>
      <c r="BW17" s="237">
        <v>7155288.9644999998</v>
      </c>
      <c r="BX17" s="238">
        <v>0.36964608490901918</v>
      </c>
      <c r="BY17" s="824">
        <f t="shared" si="60"/>
        <v>8.7194367379468174E-2</v>
      </c>
      <c r="BZ17" s="824">
        <v>8029824.328999999</v>
      </c>
      <c r="CA17" s="824">
        <v>0.39363869120338835</v>
      </c>
      <c r="CB17" s="824">
        <f t="shared" si="61"/>
        <v>6.4906967160965445E-2</v>
      </c>
      <c r="CC17" s="956">
        <v>8459101.3855000008</v>
      </c>
      <c r="CD17" s="956">
        <v>0.40700283805321286</v>
      </c>
      <c r="CE17" s="723">
        <f t="shared" si="101"/>
        <v>3.395028778540321E-2</v>
      </c>
      <c r="CF17" s="792">
        <f>F18+F19</f>
        <v>9697049.3831640016</v>
      </c>
      <c r="CG17" s="824">
        <f>G18+G19</f>
        <v>0.46607564425629766</v>
      </c>
      <c r="CH17" s="723">
        <f t="shared" si="95"/>
        <v>0.14514101789963796</v>
      </c>
      <c r="CI17" s="825">
        <f t="shared" si="63"/>
        <v>6.9712603169519083</v>
      </c>
      <c r="CJ17" s="723">
        <f t="shared" si="96"/>
        <v>0.12223764513536595</v>
      </c>
      <c r="DA17" s="287"/>
      <c r="DD17" s="12"/>
      <c r="DN17" s="12"/>
      <c r="DU17" s="12"/>
      <c r="DV17" s="12"/>
      <c r="DW17" s="12"/>
      <c r="DX17" s="12"/>
      <c r="DY17" s="12"/>
      <c r="ER17" s="266"/>
      <c r="FH17" s="266"/>
      <c r="FJ17" s="222">
        <f t="shared" si="78"/>
        <v>12</v>
      </c>
      <c r="FK17" s="242"/>
      <c r="FL17" s="877" t="s">
        <v>217</v>
      </c>
      <c r="FM17" s="650">
        <v>71670.960000000006</v>
      </c>
      <c r="FN17" s="650">
        <v>145385.94</v>
      </c>
      <c r="FO17" s="650">
        <v>289455.99114000006</v>
      </c>
      <c r="FP17" s="794">
        <f t="shared" si="21"/>
        <v>506512.89114000008</v>
      </c>
      <c r="FQ17" s="650">
        <v>72769.460000000006</v>
      </c>
      <c r="FR17" s="650">
        <v>145385.94</v>
      </c>
      <c r="FS17" s="650">
        <v>299604.49114000006</v>
      </c>
      <c r="FT17" s="650">
        <v>517759.89114000008</v>
      </c>
      <c r="FU17" s="955">
        <v>517759.89114000008</v>
      </c>
      <c r="FV17" s="16"/>
      <c r="FW17" s="266"/>
      <c r="GZ17" s="222">
        <v>12</v>
      </c>
      <c r="HA17" s="663">
        <v>12</v>
      </c>
      <c r="HB17" s="999">
        <v>10</v>
      </c>
      <c r="HC17" s="999">
        <v>11</v>
      </c>
      <c r="HD17" s="682">
        <v>93723945</v>
      </c>
      <c r="HE17" s="682">
        <v>102676361</v>
      </c>
      <c r="HF17" s="724">
        <f t="shared" si="22"/>
        <v>1.1000000000000001</v>
      </c>
      <c r="HG17" s="724">
        <f t="shared" si="23"/>
        <v>1.0955189839693582</v>
      </c>
      <c r="HH17" s="723">
        <v>0</v>
      </c>
      <c r="HI17" s="723">
        <v>1</v>
      </c>
      <c r="HJ17" s="723">
        <v>0</v>
      </c>
      <c r="HN17" s="243">
        <v>12</v>
      </c>
      <c r="HO17" s="891">
        <v>12</v>
      </c>
      <c r="HP17" s="793">
        <f t="shared" si="2"/>
        <v>1.0955189839693582</v>
      </c>
      <c r="HQ17" s="650">
        <v>2130.3900000000003</v>
      </c>
      <c r="HR17" s="794">
        <f t="shared" si="24"/>
        <v>2333.8826882584813</v>
      </c>
      <c r="HS17" s="650">
        <v>10172010</v>
      </c>
      <c r="HT17" s="975">
        <v>11151822</v>
      </c>
      <c r="HU17" s="650">
        <v>4623167.0237000007</v>
      </c>
      <c r="HV17" s="975">
        <v>5554330</v>
      </c>
      <c r="HW17" s="650">
        <v>225000</v>
      </c>
      <c r="HX17" s="955">
        <v>247500</v>
      </c>
      <c r="HY17" s="650">
        <f t="shared" si="25"/>
        <v>4850297.4137000004</v>
      </c>
      <c r="HZ17" s="650">
        <f t="shared" si="25"/>
        <v>5804163.8826882588</v>
      </c>
      <c r="IA17" s="206"/>
      <c r="IB17" s="207"/>
      <c r="IC17" s="206"/>
      <c r="ID17" s="244">
        <v>12</v>
      </c>
      <c r="IE17" s="891">
        <v>12</v>
      </c>
      <c r="IF17" s="899">
        <f t="shared" si="3"/>
        <v>1.1000000000000001</v>
      </c>
      <c r="IG17" s="900">
        <f t="shared" si="3"/>
        <v>1.0955189839693582</v>
      </c>
      <c r="IH17" s="955">
        <v>1443100.8181646655</v>
      </c>
      <c r="II17" s="794">
        <f t="shared" si="64"/>
        <v>1580944.3420811039</v>
      </c>
      <c r="IJ17" s="955">
        <v>92334.995999999999</v>
      </c>
      <c r="IK17" s="794">
        <f t="shared" si="26"/>
        <v>101154.74100273475</v>
      </c>
      <c r="IL17" s="955">
        <v>908913.26583533478</v>
      </c>
      <c r="IM17" s="794">
        <f t="shared" si="82"/>
        <v>999804.59241886833</v>
      </c>
      <c r="IN17" s="955">
        <v>1011478.181640237</v>
      </c>
      <c r="IO17" s="995">
        <v>1058208.4193069371</v>
      </c>
      <c r="IP17" s="955">
        <v>90683.825499999977</v>
      </c>
      <c r="IQ17" s="794">
        <f t="shared" si="27"/>
        <v>99345.852374214548</v>
      </c>
      <c r="IR17" s="955">
        <v>80296.399749999982</v>
      </c>
      <c r="IS17" s="794">
        <f t="shared" si="28"/>
        <v>87966.230270517408</v>
      </c>
      <c r="IT17" s="955">
        <v>143266.49</v>
      </c>
      <c r="IU17" s="794">
        <f t="shared" si="29"/>
        <v>156951.15956165621</v>
      </c>
      <c r="IV17" s="955">
        <v>581779.38425</v>
      </c>
      <c r="IW17" s="794">
        <f t="shared" si="30"/>
        <v>637350.35992787883</v>
      </c>
      <c r="IX17" s="650">
        <f t="shared" si="31"/>
        <v>4351853.3611402372</v>
      </c>
      <c r="IY17" s="650">
        <f t="shared" si="31"/>
        <v>4721725.6969439117</v>
      </c>
      <c r="IZ17" s="683">
        <f t="shared" si="4"/>
        <v>4.5986492421015113</v>
      </c>
      <c r="JD17" s="222">
        <v>12</v>
      </c>
      <c r="JE17" s="663">
        <v>12</v>
      </c>
      <c r="JF17" s="660">
        <f t="shared" si="5"/>
        <v>11</v>
      </c>
      <c r="JG17" s="660">
        <f t="shared" si="32"/>
        <v>11</v>
      </c>
      <c r="JH17" s="905">
        <f t="shared" si="6"/>
        <v>102676361</v>
      </c>
      <c r="JI17" s="905">
        <f t="shared" si="83"/>
        <v>102135915.22443599</v>
      </c>
      <c r="JJ17" s="906">
        <f t="shared" si="33"/>
        <v>1</v>
      </c>
      <c r="JK17" s="906">
        <f t="shared" si="34"/>
        <v>0.9947364147862231</v>
      </c>
      <c r="JL17" s="906">
        <f t="shared" si="35"/>
        <v>1.0271733904830245</v>
      </c>
      <c r="JM17" s="663" t="s">
        <v>238</v>
      </c>
      <c r="JN17" s="209"/>
      <c r="JO17" s="210"/>
      <c r="JP17" s="209"/>
      <c r="JQ17" s="222">
        <v>12</v>
      </c>
      <c r="JR17" s="663">
        <v>12</v>
      </c>
      <c r="JS17" s="914" t="str">
        <f t="shared" si="7"/>
        <v>Q3</v>
      </c>
      <c r="JT17" s="913">
        <f t="shared" si="8"/>
        <v>1.0271733904830245</v>
      </c>
      <c r="JU17" s="671">
        <f t="shared" si="36"/>
        <v>2333.8826882584813</v>
      </c>
      <c r="JV17" s="671">
        <f t="shared" si="37"/>
        <v>2397.3021938880997</v>
      </c>
      <c r="JW17" s="671">
        <f t="shared" si="9"/>
        <v>11151822</v>
      </c>
      <c r="JX17" s="671">
        <f t="shared" si="38"/>
        <v>11269664.890147779</v>
      </c>
      <c r="JY17" s="671">
        <f t="shared" si="10"/>
        <v>5554330</v>
      </c>
      <c r="JZ17" s="671">
        <f t="shared" si="11"/>
        <v>5057455.0262885047</v>
      </c>
      <c r="KA17" s="671">
        <f t="shared" si="39"/>
        <v>247500</v>
      </c>
      <c r="KB17" s="671">
        <f t="shared" si="40"/>
        <v>222267.8596009273</v>
      </c>
      <c r="KC17" s="671">
        <f t="shared" si="41"/>
        <v>5804163.8826882588</v>
      </c>
      <c r="KD17" s="671">
        <f t="shared" si="41"/>
        <v>5282120.1880833209</v>
      </c>
      <c r="KE17" s="211"/>
      <c r="KF17" s="210"/>
      <c r="KG17" s="209"/>
      <c r="KH17" s="245">
        <f t="shared" si="65"/>
        <v>12</v>
      </c>
      <c r="KI17" s="917">
        <v>11</v>
      </c>
      <c r="KJ17" s="918">
        <f t="shared" si="66"/>
        <v>1</v>
      </c>
      <c r="KK17" s="918">
        <f t="shared" si="66"/>
        <v>0.99473641478622321</v>
      </c>
      <c r="KL17" s="898">
        <v>1.6406666700000001</v>
      </c>
      <c r="KM17" s="801">
        <f t="shared" si="67"/>
        <v>1519181.9922690673</v>
      </c>
      <c r="KN17" s="898">
        <v>1.6406666700000001</v>
      </c>
      <c r="KO17" s="801">
        <f t="shared" si="42"/>
        <v>88218.958278002596</v>
      </c>
      <c r="KP17" s="898">
        <v>1.6406666700000001</v>
      </c>
      <c r="KQ17" s="801">
        <f t="shared" si="43"/>
        <v>724132.01486431516</v>
      </c>
      <c r="KR17" s="898">
        <v>1.6406666700000001</v>
      </c>
      <c r="KS17" s="801">
        <f t="shared" si="68"/>
        <v>1145645.4294126201</v>
      </c>
      <c r="KT17" s="898">
        <v>1.6406666700000001</v>
      </c>
      <c r="KU17" s="801">
        <f t="shared" si="44"/>
        <v>123133.67262193763</v>
      </c>
      <c r="KV17" s="898">
        <v>1.6406666700000001</v>
      </c>
      <c r="KW17" s="801">
        <f t="shared" si="45"/>
        <v>66329.191213376194</v>
      </c>
      <c r="KX17" s="898">
        <v>1.6406666700000001</v>
      </c>
      <c r="KY17" s="801">
        <f t="shared" si="46"/>
        <v>144900.47929389661</v>
      </c>
      <c r="KZ17" s="898">
        <v>1.6406666700000001</v>
      </c>
      <c r="LA17" s="919">
        <f t="shared" si="47"/>
        <v>398539.71014179435</v>
      </c>
      <c r="LB17" s="646">
        <f t="shared" si="48"/>
        <v>4044324.1200189614</v>
      </c>
      <c r="LC17" s="646">
        <f t="shared" si="79"/>
        <v>4210081.4480950097</v>
      </c>
      <c r="LD17" s="16"/>
      <c r="LE17" s="220"/>
      <c r="LG17" s="222">
        <v>12</v>
      </c>
      <c r="LH17" s="922">
        <v>12</v>
      </c>
      <c r="LI17" s="650">
        <f t="shared" si="12"/>
        <v>4850297.4137000004</v>
      </c>
      <c r="LJ17" s="650">
        <f t="shared" si="12"/>
        <v>5804163.8826882588</v>
      </c>
      <c r="LK17" s="794">
        <f t="shared" si="13"/>
        <v>5282120.1880833209</v>
      </c>
      <c r="LL17" s="650">
        <f t="shared" si="14"/>
        <v>4351853.3611402372</v>
      </c>
      <c r="LM17" s="650">
        <f t="shared" si="14"/>
        <v>4721725.6969439117</v>
      </c>
      <c r="LN17" s="794">
        <f t="shared" si="49"/>
        <v>4850030.9930606997</v>
      </c>
      <c r="LO17" s="650">
        <f t="shared" si="50"/>
        <v>498444.05255976319</v>
      </c>
      <c r="LP17" s="650">
        <f t="shared" si="50"/>
        <v>1082438.1857443471</v>
      </c>
      <c r="LQ17" s="650">
        <f t="shared" si="50"/>
        <v>432089.19502262119</v>
      </c>
      <c r="MA17" s="192">
        <f t="shared" si="80"/>
        <v>11</v>
      </c>
      <c r="MB17" s="814" t="s">
        <v>49</v>
      </c>
      <c r="MC17" s="860">
        <f t="shared" si="102"/>
        <v>25073716.728897151</v>
      </c>
      <c r="MD17" s="928">
        <f t="shared" si="103"/>
        <v>1.1488411190821608</v>
      </c>
      <c r="ME17" s="796"/>
      <c r="MF17" s="798">
        <f t="shared" si="104"/>
        <v>25073716.728897151</v>
      </c>
      <c r="MG17" s="928">
        <f t="shared" si="105"/>
        <v>1.1488411190821608</v>
      </c>
      <c r="MK17" s="192">
        <f t="shared" si="81"/>
        <v>11</v>
      </c>
      <c r="ML17" s="253" t="str">
        <f t="shared" si="53"/>
        <v>Building</v>
      </c>
      <c r="MM17" s="979">
        <v>22755368.059679482</v>
      </c>
      <c r="MN17" s="860">
        <f t="shared" si="106"/>
        <v>25073716.728897151</v>
      </c>
      <c r="MO17" s="860">
        <f t="shared" si="70"/>
        <v>2318348.6692176685</v>
      </c>
      <c r="MP17" s="802">
        <f t="shared" si="71"/>
        <v>0.10188139621110234</v>
      </c>
    </row>
    <row r="18" spans="1:357" s="29" customFormat="1" ht="16.5" x14ac:dyDescent="0.3">
      <c r="B18" s="181">
        <f t="shared" si="72"/>
        <v>13</v>
      </c>
      <c r="C18" s="251"/>
      <c r="D18" s="796" t="s">
        <v>52</v>
      </c>
      <c r="E18" s="797"/>
      <c r="F18" s="798">
        <f>EL9</f>
        <v>5900402.2061640006</v>
      </c>
      <c r="G18" s="799">
        <f t="shared" si="97"/>
        <v>0.28359490097923706</v>
      </c>
      <c r="H18" s="798">
        <f>EP9</f>
        <v>5942658.5173137691</v>
      </c>
      <c r="I18" s="800">
        <f t="shared" si="98"/>
        <v>0.28412965774054211</v>
      </c>
      <c r="J18" s="801">
        <f t="shared" si="54"/>
        <v>42256.311149768531</v>
      </c>
      <c r="K18" s="798">
        <f>IU26</f>
        <v>6168270.1152246939</v>
      </c>
      <c r="L18" s="800">
        <f t="shared" si="99"/>
        <v>0.28113353700806315</v>
      </c>
      <c r="M18" s="801">
        <f t="shared" si="55"/>
        <v>225611.59791092481</v>
      </c>
      <c r="N18" s="798">
        <f>KY27</f>
        <v>6337116.5493326727</v>
      </c>
      <c r="O18" s="800">
        <f t="shared" si="100"/>
        <v>0.29035743471963721</v>
      </c>
      <c r="P18" s="801">
        <f t="shared" si="56"/>
        <v>168846.43410797883</v>
      </c>
      <c r="Q18" s="798">
        <f t="shared" si="57"/>
        <v>436714.34316867217</v>
      </c>
      <c r="R18" s="802">
        <f t="shared" si="58"/>
        <v>2.3845752222799055E-2</v>
      </c>
      <c r="S18" s="12"/>
      <c r="T18" s="13"/>
      <c r="U18" s="12"/>
      <c r="V18" s="165">
        <f>V16+1</f>
        <v>9</v>
      </c>
      <c r="W18" s="805" t="s">
        <v>172</v>
      </c>
      <c r="X18" s="650">
        <f>SUMPRODUCT($LQ$6:$LQ$25,HH6:HH25)</f>
        <v>-3845899.4106555297</v>
      </c>
      <c r="Y18" s="650">
        <f>SUMPRODUCT($LQ$6:$LQ$25,HI6:HI25)</f>
        <v>778640.04267048067</v>
      </c>
      <c r="Z18" s="650">
        <f>SUMPRODUCT($LQ$6:$LQ$25,HJ6:HJ25)</f>
        <v>6685644.5950643281</v>
      </c>
      <c r="AA18" s="650">
        <f>SUM(X18:Z18)</f>
        <v>3618385.2270792788</v>
      </c>
      <c r="AB18" s="230"/>
      <c r="AC18" s="12"/>
      <c r="AD18" s="13"/>
      <c r="AE18" s="12"/>
      <c r="AF18" s="252">
        <f t="shared" si="73"/>
        <v>12</v>
      </c>
      <c r="AG18" s="191" t="s">
        <v>26</v>
      </c>
      <c r="AK18" s="12"/>
      <c r="AL18" s="299"/>
      <c r="AM18" s="12"/>
      <c r="AN18" s="312">
        <f t="shared" si="108"/>
        <v>13</v>
      </c>
      <c r="AO18" s="313"/>
      <c r="AP18" s="314"/>
      <c r="AQ18" s="843" t="s">
        <v>53</v>
      </c>
      <c r="AR18" s="844"/>
      <c r="AS18" s="845">
        <v>5928822.8260000004</v>
      </c>
      <c r="AT18" s="846">
        <v>0.57815077141840288</v>
      </c>
      <c r="AU18" s="847"/>
      <c r="AV18" s="845">
        <v>3792013.7597000003</v>
      </c>
      <c r="AW18" s="846">
        <v>0.35137968141626907</v>
      </c>
      <c r="AX18" s="848">
        <f t="shared" si="87"/>
        <v>-0.39223521132002692</v>
      </c>
      <c r="AY18" s="847"/>
      <c r="AZ18" s="845">
        <v>5238845.7033359464</v>
      </c>
      <c r="BA18" s="846">
        <v>0.40606900530629209</v>
      </c>
      <c r="BB18" s="848">
        <f t="shared" si="88"/>
        <v>0.15564167987628807</v>
      </c>
      <c r="BC18" s="847"/>
      <c r="BD18" s="845">
        <v>5407089.8699504221</v>
      </c>
      <c r="BE18" s="846">
        <v>0.36767645852816944</v>
      </c>
      <c r="BF18" s="848">
        <f t="shared" si="89"/>
        <v>-9.4546853555502741E-2</v>
      </c>
      <c r="BG18" s="847"/>
      <c r="BH18" s="845">
        <v>7543565.8774000006</v>
      </c>
      <c r="BI18" s="846">
        <v>0.49640433719995791</v>
      </c>
      <c r="BJ18" s="848">
        <f t="shared" si="90"/>
        <v>0.3501118325255137</v>
      </c>
      <c r="BK18" s="847"/>
      <c r="BL18" s="845">
        <v>8178976.4044999983</v>
      </c>
      <c r="BM18" s="846">
        <v>0.48622711326046231</v>
      </c>
      <c r="BN18" s="848">
        <f t="shared" si="91"/>
        <v>-2.050188359936933E-2</v>
      </c>
      <c r="BO18" s="847"/>
      <c r="BP18" s="845">
        <v>9693134.9169999994</v>
      </c>
      <c r="BQ18" s="846">
        <v>0.52259989598697731</v>
      </c>
      <c r="BR18" s="848">
        <f t="shared" si="92"/>
        <v>7.4806158962654967E-2</v>
      </c>
      <c r="BS18" s="847"/>
      <c r="BT18" s="843">
        <v>9228973</v>
      </c>
      <c r="BU18" s="843">
        <v>0.47</v>
      </c>
      <c r="BV18" s="843">
        <f t="shared" si="93"/>
        <v>-0.10065041419045384</v>
      </c>
      <c r="BW18" s="315">
        <v>10423908.153099999</v>
      </c>
      <c r="BX18" s="316">
        <v>0.53850471411588496</v>
      </c>
      <c r="BY18" s="849">
        <f t="shared" si="60"/>
        <v>0.14575471088486158</v>
      </c>
      <c r="BZ18" s="849">
        <v>10530651.726950001</v>
      </c>
      <c r="CA18" s="849">
        <v>0.51623445214666785</v>
      </c>
      <c r="CB18" s="849">
        <f t="shared" si="61"/>
        <v>-4.1355741900570675E-2</v>
      </c>
      <c r="CC18" s="957">
        <v>10262021.9365</v>
      </c>
      <c r="CD18" s="957">
        <v>0.49374890570281921</v>
      </c>
      <c r="CE18" s="802">
        <f t="shared" si="101"/>
        <v>-4.3556849703359712E-2</v>
      </c>
      <c r="CF18" s="850">
        <f t="shared" ref="CF18:CG20" si="109">F20</f>
        <v>12400752.312759999</v>
      </c>
      <c r="CG18" s="849">
        <f t="shared" si="109"/>
        <v>0.59602549136926886</v>
      </c>
      <c r="CH18" s="802">
        <f t="shared" si="95"/>
        <v>0.20714291107312044</v>
      </c>
      <c r="CI18" s="851">
        <f t="shared" si="63"/>
        <v>1.0916044679861714</v>
      </c>
      <c r="CJ18" s="802">
        <f t="shared" si="96"/>
        <v>4.1848138382024169E-2</v>
      </c>
      <c r="CK18" s="12"/>
      <c r="CL18" s="13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3"/>
      <c r="CZ18" s="12"/>
      <c r="DA18" s="287"/>
      <c r="DB18" s="12"/>
      <c r="DC18" s="12"/>
      <c r="DD18" s="12"/>
      <c r="DE18" s="12"/>
      <c r="DF18" s="12"/>
      <c r="DG18" s="12"/>
      <c r="DH18" s="12"/>
      <c r="DI18" s="13"/>
      <c r="DJ18" s="12"/>
      <c r="DK18" s="12"/>
      <c r="DL18" s="12"/>
      <c r="DM18" s="12"/>
      <c r="DN18" s="12"/>
      <c r="DO18" s="12"/>
      <c r="DP18" s="12"/>
      <c r="DQ18" s="12"/>
      <c r="DR18" s="1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3"/>
      <c r="EF18" s="12"/>
      <c r="EG18" s="12"/>
      <c r="EH18" s="12"/>
      <c r="EI18" s="12"/>
      <c r="EJ18" s="12"/>
      <c r="EK18" s="12"/>
      <c r="EL18" s="232"/>
      <c r="EM18" s="12"/>
      <c r="EN18" s="12"/>
      <c r="EO18" s="12"/>
      <c r="EP18" s="12"/>
      <c r="EQ18" s="12"/>
      <c r="ER18" s="266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266"/>
      <c r="FI18" s="12"/>
      <c r="FJ18" s="192">
        <f t="shared" si="78"/>
        <v>13</v>
      </c>
      <c r="FK18" s="265"/>
      <c r="FL18" s="878" t="s">
        <v>218</v>
      </c>
      <c r="FM18" s="860">
        <v>46359.069999999985</v>
      </c>
      <c r="FN18" s="860">
        <v>56738.55999999999</v>
      </c>
      <c r="FO18" s="860">
        <v>59444.51999999999</v>
      </c>
      <c r="FP18" s="801">
        <f t="shared" si="21"/>
        <v>162542.14999999997</v>
      </c>
      <c r="FQ18" s="860">
        <v>46359.069999999985</v>
      </c>
      <c r="FR18" s="860">
        <v>56738.55999999999</v>
      </c>
      <c r="FS18" s="860">
        <v>59660.01999999999</v>
      </c>
      <c r="FT18" s="860">
        <v>162757.64999999997</v>
      </c>
      <c r="FU18" s="955">
        <v>162757.64999999997</v>
      </c>
      <c r="FV18" s="16"/>
      <c r="FW18" s="266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3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3"/>
      <c r="GX18" s="12"/>
      <c r="GY18" s="12"/>
      <c r="GZ18" s="192">
        <v>13</v>
      </c>
      <c r="HA18" s="886">
        <v>13</v>
      </c>
      <c r="HB18" s="886">
        <v>10</v>
      </c>
      <c r="HC18" s="886">
        <v>10</v>
      </c>
      <c r="HD18" s="887">
        <v>107393163</v>
      </c>
      <c r="HE18" s="887">
        <v>109881634</v>
      </c>
      <c r="HF18" s="800">
        <f t="shared" si="22"/>
        <v>1</v>
      </c>
      <c r="HG18" s="800">
        <f t="shared" si="23"/>
        <v>1.023171596128517</v>
      </c>
      <c r="HH18" s="802">
        <v>0</v>
      </c>
      <c r="HI18" s="802">
        <v>1</v>
      </c>
      <c r="HJ18" s="802">
        <v>0</v>
      </c>
      <c r="HK18" s="12"/>
      <c r="HL18" s="13"/>
      <c r="HM18" s="12"/>
      <c r="HN18" s="267">
        <v>13</v>
      </c>
      <c r="HO18" s="892">
        <v>13</v>
      </c>
      <c r="HP18" s="799">
        <f t="shared" si="2"/>
        <v>1.023171596128517</v>
      </c>
      <c r="HQ18" s="860">
        <v>27775.331600000001</v>
      </c>
      <c r="HR18" s="801">
        <f t="shared" si="24"/>
        <v>28418.93036617084</v>
      </c>
      <c r="HS18" s="860">
        <v>11862742</v>
      </c>
      <c r="HT18" s="975">
        <v>12146248</v>
      </c>
      <c r="HU18" s="860">
        <v>5631426.6320999991</v>
      </c>
      <c r="HV18" s="975">
        <v>6209842</v>
      </c>
      <c r="HW18" s="860">
        <v>225000</v>
      </c>
      <c r="HX18" s="955">
        <v>225000</v>
      </c>
      <c r="HY18" s="860">
        <f t="shared" si="25"/>
        <v>5884201.9636999993</v>
      </c>
      <c r="HZ18" s="860">
        <f t="shared" si="25"/>
        <v>6463260.9303661706</v>
      </c>
      <c r="IA18" s="206"/>
      <c r="IB18" s="207"/>
      <c r="IC18" s="206"/>
      <c r="ID18" s="208">
        <v>13</v>
      </c>
      <c r="IE18" s="892">
        <v>13</v>
      </c>
      <c r="IF18" s="896">
        <f t="shared" si="3"/>
        <v>1</v>
      </c>
      <c r="IG18" s="897">
        <f t="shared" si="3"/>
        <v>1.023171596128517</v>
      </c>
      <c r="IH18" s="955">
        <v>2205203.5761924665</v>
      </c>
      <c r="II18" s="801">
        <f t="shared" si="64"/>
        <v>2256301.6628411599</v>
      </c>
      <c r="IJ18" s="955">
        <v>67547.691000000006</v>
      </c>
      <c r="IK18" s="801">
        <f t="shared" si="26"/>
        <v>69112.878815265867</v>
      </c>
      <c r="IL18" s="955">
        <v>1259192.0478075333</v>
      </c>
      <c r="IM18" s="801">
        <f t="shared" si="82"/>
        <v>1259192.0478075333</v>
      </c>
      <c r="IN18" s="955">
        <v>1272524.4114888334</v>
      </c>
      <c r="IO18" s="995">
        <v>1272524.4114888334</v>
      </c>
      <c r="IP18" s="955">
        <v>139071.08429999999</v>
      </c>
      <c r="IQ18" s="801">
        <f t="shared" si="27"/>
        <v>142293.58329855453</v>
      </c>
      <c r="IR18" s="955">
        <v>69474.350399999981</v>
      </c>
      <c r="IS18" s="801">
        <f t="shared" si="28"/>
        <v>71084.181988759854</v>
      </c>
      <c r="IT18" s="955">
        <v>183955.41</v>
      </c>
      <c r="IU18" s="801">
        <f t="shared" si="29"/>
        <v>188217.95046617577</v>
      </c>
      <c r="IV18" s="955">
        <v>549829.40595000004</v>
      </c>
      <c r="IW18" s="801">
        <f t="shared" si="30"/>
        <v>562569.83088425593</v>
      </c>
      <c r="IX18" s="860">
        <f t="shared" si="31"/>
        <v>5746797.9771388331</v>
      </c>
      <c r="IY18" s="860">
        <f t="shared" si="31"/>
        <v>5821296.5475905379</v>
      </c>
      <c r="IZ18" s="898">
        <f t="shared" si="4"/>
        <v>5.2977884799115182</v>
      </c>
      <c r="JA18" s="12"/>
      <c r="JB18" s="13"/>
      <c r="JC18" s="12"/>
      <c r="JD18" s="192">
        <v>13</v>
      </c>
      <c r="JE18" s="886">
        <v>13</v>
      </c>
      <c r="JF18" s="796">
        <f t="shared" si="5"/>
        <v>10</v>
      </c>
      <c r="JG18" s="804">
        <f t="shared" si="32"/>
        <v>10</v>
      </c>
      <c r="JH18" s="859">
        <f t="shared" si="6"/>
        <v>109881634</v>
      </c>
      <c r="JI18" s="859">
        <f t="shared" si="83"/>
        <v>109303262.65601197</v>
      </c>
      <c r="JJ18" s="904">
        <f t="shared" si="33"/>
        <v>1</v>
      </c>
      <c r="JK18" s="904">
        <f t="shared" si="34"/>
        <v>0.99473641478622321</v>
      </c>
      <c r="JL18" s="904">
        <f t="shared" si="35"/>
        <v>1.0271682150028418</v>
      </c>
      <c r="JM18" s="886" t="s">
        <v>238</v>
      </c>
      <c r="JN18" s="209"/>
      <c r="JO18" s="210"/>
      <c r="JP18" s="209"/>
      <c r="JQ18" s="192">
        <v>13</v>
      </c>
      <c r="JR18" s="886">
        <v>13</v>
      </c>
      <c r="JS18" s="910" t="str">
        <f t="shared" si="7"/>
        <v>Q3</v>
      </c>
      <c r="JT18" s="911">
        <f t="shared" si="8"/>
        <v>1.0271682150028418</v>
      </c>
      <c r="JU18" s="860">
        <f t="shared" si="36"/>
        <v>28418.93036617084</v>
      </c>
      <c r="JV18" s="860">
        <f t="shared" si="37"/>
        <v>29191.021976509761</v>
      </c>
      <c r="JW18" s="860">
        <f t="shared" si="9"/>
        <v>12146248</v>
      </c>
      <c r="JX18" s="860">
        <f t="shared" si="38"/>
        <v>12060509.163953213</v>
      </c>
      <c r="JY18" s="860">
        <f t="shared" si="10"/>
        <v>6209842</v>
      </c>
      <c r="JZ18" s="860">
        <f t="shared" si="11"/>
        <v>5412359.931319477</v>
      </c>
      <c r="KA18" s="860">
        <f t="shared" si="39"/>
        <v>225000</v>
      </c>
      <c r="KB18" s="860">
        <f t="shared" si="40"/>
        <v>237865.41868807055</v>
      </c>
      <c r="KC18" s="860">
        <f t="shared" si="41"/>
        <v>6463260.9303661706</v>
      </c>
      <c r="KD18" s="860">
        <f t="shared" si="41"/>
        <v>5679416.3719840581</v>
      </c>
      <c r="KE18" s="211"/>
      <c r="KF18" s="210"/>
      <c r="KG18" s="209"/>
      <c r="KH18" s="243">
        <f t="shared" si="65"/>
        <v>13</v>
      </c>
      <c r="KI18" s="891">
        <v>12</v>
      </c>
      <c r="KJ18" s="920">
        <f t="shared" si="66"/>
        <v>1</v>
      </c>
      <c r="KK18" s="920">
        <f t="shared" si="66"/>
        <v>0.9947364147862231</v>
      </c>
      <c r="KL18" s="683">
        <v>1.6626666699999999</v>
      </c>
      <c r="KM18" s="794">
        <f t="shared" si="67"/>
        <v>1620167.3233377659</v>
      </c>
      <c r="KN18" s="683">
        <v>1.6626666699999999</v>
      </c>
      <c r="KO18" s="794">
        <f t="shared" si="42"/>
        <v>103664.37426733783</v>
      </c>
      <c r="KP18" s="683">
        <v>1.6626666699999999</v>
      </c>
      <c r="KQ18" s="794">
        <f t="shared" si="43"/>
        <v>1030031.2448311668</v>
      </c>
      <c r="KR18" s="683">
        <v>1.6626666699999999</v>
      </c>
      <c r="KS18" s="794">
        <f t="shared" si="68"/>
        <v>1090200.7689247492</v>
      </c>
      <c r="KT18" s="683">
        <v>1.6626666699999999</v>
      </c>
      <c r="KU18" s="794">
        <f t="shared" si="44"/>
        <v>101810.60739555294</v>
      </c>
      <c r="KV18" s="683">
        <v>1.6626666699999999</v>
      </c>
      <c r="KW18" s="794">
        <f t="shared" si="45"/>
        <v>90148.658651631602</v>
      </c>
      <c r="KX18" s="683">
        <v>1.6626666699999999</v>
      </c>
      <c r="KY18" s="794">
        <f t="shared" si="46"/>
        <v>160845.09322259363</v>
      </c>
      <c r="KZ18" s="683">
        <v>1.6626666699999999</v>
      </c>
      <c r="LA18" s="794">
        <f t="shared" si="47"/>
        <v>653162.92242990236</v>
      </c>
      <c r="LB18" s="650">
        <f t="shared" si="48"/>
        <v>4721725.6969439117</v>
      </c>
      <c r="LC18" s="650">
        <f t="shared" si="79"/>
        <v>4850030.9930606997</v>
      </c>
      <c r="LD18" s="16"/>
      <c r="LE18" s="220"/>
      <c r="LF18" s="12"/>
      <c r="LG18" s="192">
        <v>13</v>
      </c>
      <c r="LH18" s="921">
        <v>13</v>
      </c>
      <c r="LI18" s="860">
        <f t="shared" si="12"/>
        <v>5884201.9636999993</v>
      </c>
      <c r="LJ18" s="860">
        <f t="shared" si="12"/>
        <v>6463260.9303661706</v>
      </c>
      <c r="LK18" s="801">
        <f t="shared" si="13"/>
        <v>5679416.3719840581</v>
      </c>
      <c r="LL18" s="860">
        <f t="shared" si="14"/>
        <v>5746797.9771388331</v>
      </c>
      <c r="LM18" s="860">
        <f t="shared" si="14"/>
        <v>5821296.5475905379</v>
      </c>
      <c r="LN18" s="801">
        <f t="shared" si="49"/>
        <v>5979450.7837907784</v>
      </c>
      <c r="LO18" s="860">
        <f t="shared" si="50"/>
        <v>137403.98656116612</v>
      </c>
      <c r="LP18" s="860">
        <f t="shared" si="50"/>
        <v>641964.38277563266</v>
      </c>
      <c r="LQ18" s="860">
        <f t="shared" si="50"/>
        <v>-300034.41180672031</v>
      </c>
      <c r="LR18" s="12"/>
      <c r="LS18" s="13"/>
      <c r="LT18" s="12"/>
      <c r="LU18" s="12"/>
      <c r="LV18" s="12"/>
      <c r="LW18" s="12"/>
      <c r="LX18" s="12"/>
      <c r="LY18" s="13"/>
      <c r="LZ18" s="12"/>
      <c r="MA18" s="222">
        <f t="shared" si="80"/>
        <v>12</v>
      </c>
      <c r="MB18" s="812" t="s">
        <v>52</v>
      </c>
      <c r="MC18" s="650">
        <f t="shared" si="102"/>
        <v>6337116.5493326727</v>
      </c>
      <c r="MD18" s="747">
        <f t="shared" si="103"/>
        <v>0.29035743471963721</v>
      </c>
      <c r="ME18" s="660"/>
      <c r="MF18" s="792">
        <f t="shared" si="104"/>
        <v>6337116.5493326727</v>
      </c>
      <c r="MG18" s="747">
        <f t="shared" si="105"/>
        <v>0.29035743471963721</v>
      </c>
      <c r="MH18" s="12"/>
      <c r="MI18" s="13"/>
      <c r="MJ18" s="12"/>
      <c r="MK18" s="222">
        <f t="shared" si="81"/>
        <v>12</v>
      </c>
      <c r="ML18" s="231" t="str">
        <f t="shared" si="53"/>
        <v>Equipment</v>
      </c>
      <c r="MM18" s="979">
        <v>5448128.1456260383</v>
      </c>
      <c r="MN18" s="650">
        <f t="shared" si="106"/>
        <v>6337116.5493326727</v>
      </c>
      <c r="MO18" s="650">
        <f t="shared" si="70"/>
        <v>888988.40370663442</v>
      </c>
      <c r="MP18" s="823">
        <f t="shared" si="71"/>
        <v>0.16317318167715048</v>
      </c>
      <c r="MQ18" s="12"/>
      <c r="MR18" s="13"/>
      <c r="MS18" s="12"/>
    </row>
    <row r="19" spans="1:357" ht="16.5" x14ac:dyDescent="0.3">
      <c r="B19" s="143">
        <f t="shared" si="72"/>
        <v>14</v>
      </c>
      <c r="C19" s="223"/>
      <c r="D19" s="660" t="s">
        <v>50</v>
      </c>
      <c r="E19" s="791"/>
      <c r="F19" s="792">
        <f>EY9</f>
        <v>3796647.1770000006</v>
      </c>
      <c r="G19" s="793">
        <f t="shared" si="97"/>
        <v>0.1824807432770606</v>
      </c>
      <c r="H19" s="792">
        <f>FF9</f>
        <v>3622420.2399469693</v>
      </c>
      <c r="I19" s="724">
        <f t="shared" si="98"/>
        <v>0.17319471074602244</v>
      </c>
      <c r="J19" s="794">
        <f t="shared" si="54"/>
        <v>-174226.93705303129</v>
      </c>
      <c r="K19" s="792">
        <f>IQ26+IS26</f>
        <v>3898827.7473696326</v>
      </c>
      <c r="L19" s="724">
        <f t="shared" si="99"/>
        <v>0.17769831967925684</v>
      </c>
      <c r="M19" s="794">
        <f t="shared" si="55"/>
        <v>276407.50742266327</v>
      </c>
      <c r="N19" s="792">
        <f>KU27+KW27</f>
        <v>4010208.1181549192</v>
      </c>
      <c r="O19" s="724">
        <f t="shared" si="100"/>
        <v>0.18374188525883151</v>
      </c>
      <c r="P19" s="794">
        <f t="shared" si="56"/>
        <v>111380.37078528665</v>
      </c>
      <c r="Q19" s="792">
        <f t="shared" si="57"/>
        <v>213560.94115491863</v>
      </c>
      <c r="R19" s="723">
        <f t="shared" si="58"/>
        <v>6.9110962566396594E-3</v>
      </c>
      <c r="V19" s="252">
        <f t="shared" si="59"/>
        <v>10</v>
      </c>
      <c r="W19" s="806" t="s">
        <v>179</v>
      </c>
      <c r="X19" s="800">
        <f>X18/N$24*100</f>
        <v>-0.17621350000029529</v>
      </c>
      <c r="Y19" s="800">
        <f>Y18/N$24*100</f>
        <v>3.5676150754020343E-2</v>
      </c>
      <c r="Z19" s="800">
        <f>Z18/N$24*100</f>
        <v>0.30632648128816659</v>
      </c>
      <c r="AA19" s="800">
        <f>AA18/N$24*100</f>
        <v>0.16578913204189166</v>
      </c>
      <c r="AB19" s="227"/>
      <c r="AC19" s="233"/>
      <c r="AF19" s="165">
        <f t="shared" si="73"/>
        <v>13</v>
      </c>
      <c r="AG19" s="812" t="s">
        <v>77</v>
      </c>
      <c r="AH19" s="813">
        <f>AH15*KK27</f>
        <v>1846122.164993925</v>
      </c>
      <c r="AI19" s="813">
        <f>AI15*KK27</f>
        <v>91720.046646903851</v>
      </c>
      <c r="AJ19" s="813">
        <f>AJ15*KJ27</f>
        <v>585111.37535486498</v>
      </c>
      <c r="AL19" s="299"/>
      <c r="AN19" s="222">
        <f t="shared" si="108"/>
        <v>14</v>
      </c>
      <c r="AO19" s="2"/>
      <c r="AP19" s="317" t="s">
        <v>59</v>
      </c>
      <c r="AQ19" s="5"/>
      <c r="AR19" s="224"/>
      <c r="AS19" s="233">
        <v>32802383.3928</v>
      </c>
      <c r="AT19" s="234">
        <v>3.1987333437832652</v>
      </c>
      <c r="AU19" s="235"/>
      <c r="AV19" s="233">
        <v>36250313.730549999</v>
      </c>
      <c r="AW19" s="234">
        <v>3.359065788539803</v>
      </c>
      <c r="AX19" s="236">
        <f t="shared" si="87"/>
        <v>5.012372946564736E-2</v>
      </c>
      <c r="AY19" s="235"/>
      <c r="AZ19" s="233">
        <v>43223045.707989462</v>
      </c>
      <c r="BA19" s="234">
        <v>3.3502683932407789</v>
      </c>
      <c r="BB19" s="236">
        <f t="shared" si="88"/>
        <v>-2.6190005950578188E-3</v>
      </c>
      <c r="BC19" s="235"/>
      <c r="BD19" s="233">
        <v>49380961.369565383</v>
      </c>
      <c r="BE19" s="234">
        <v>3.3578537497555252</v>
      </c>
      <c r="BF19" s="236">
        <f t="shared" si="89"/>
        <v>2.2641041326867395E-3</v>
      </c>
      <c r="BG19" s="235"/>
      <c r="BH19" s="233">
        <v>57308507.547660008</v>
      </c>
      <c r="BI19" s="234">
        <v>3.7711862224659241</v>
      </c>
      <c r="BJ19" s="236">
        <f t="shared" si="90"/>
        <v>0.12309424516791179</v>
      </c>
      <c r="BK19" s="235"/>
      <c r="BL19" s="233">
        <v>61753474.575707734</v>
      </c>
      <c r="BM19" s="234">
        <v>3.6711456534132534</v>
      </c>
      <c r="BN19" s="236">
        <f t="shared" si="91"/>
        <v>-2.6527613103989212E-2</v>
      </c>
      <c r="BO19" s="235"/>
      <c r="BP19" s="233">
        <v>74174917.572400004</v>
      </c>
      <c r="BQ19" s="234">
        <v>3.9990987993156044</v>
      </c>
      <c r="BR19" s="236">
        <f t="shared" si="92"/>
        <v>8.9332643502563425E-2</v>
      </c>
      <c r="BS19" s="235"/>
      <c r="BT19" s="12">
        <v>83233170</v>
      </c>
      <c r="BU19" s="12">
        <v>4.24</v>
      </c>
      <c r="BV19" s="12">
        <f t="shared" si="93"/>
        <v>6.0238871999267252E-2</v>
      </c>
      <c r="BW19" s="237">
        <v>91278660.188299984</v>
      </c>
      <c r="BX19" s="238">
        <v>4.7155047883804926</v>
      </c>
      <c r="BY19" s="239">
        <f t="shared" si="60"/>
        <v>0.11214735575011603</v>
      </c>
      <c r="BZ19" s="239">
        <v>96836161.677461118</v>
      </c>
      <c r="CA19" s="239">
        <v>4.7471100714133083</v>
      </c>
      <c r="CB19" s="239">
        <f t="shared" si="61"/>
        <v>6.7024177582630795E-3</v>
      </c>
      <c r="CC19" s="956">
        <v>99050498.270500004</v>
      </c>
      <c r="CD19" s="956">
        <v>4.7657348067469085</v>
      </c>
      <c r="CE19" s="852">
        <f t="shared" si="101"/>
        <v>3.923383922727286E-3</v>
      </c>
      <c r="CF19" s="792">
        <f t="shared" si="109"/>
        <v>104216563.686424</v>
      </c>
      <c r="CG19" s="824">
        <f t="shared" si="109"/>
        <v>5.0090290502861157</v>
      </c>
      <c r="CH19" s="852">
        <f t="shared" si="95"/>
        <v>5.1050730559907054E-2</v>
      </c>
      <c r="CI19" s="825">
        <f t="shared" si="63"/>
        <v>2.1771033963739095</v>
      </c>
      <c r="CJ19" s="852">
        <f t="shared" si="96"/>
        <v>6.6327551373152493E-2</v>
      </c>
      <c r="DA19" s="287"/>
      <c r="DD19" s="12"/>
      <c r="DN19" s="12"/>
      <c r="DU19" s="12"/>
      <c r="DV19" s="12"/>
      <c r="DW19" s="12"/>
      <c r="DX19" s="12"/>
      <c r="DY19" s="12"/>
      <c r="ER19" s="266"/>
      <c r="FH19" s="266"/>
      <c r="FJ19" s="222">
        <f t="shared" si="78"/>
        <v>14</v>
      </c>
      <c r="FK19" s="242"/>
      <c r="FL19" s="877" t="s">
        <v>219</v>
      </c>
      <c r="FM19" s="650">
        <v>77710.069000000003</v>
      </c>
      <c r="FN19" s="650">
        <v>100417.86000000002</v>
      </c>
      <c r="FO19" s="650">
        <v>103913.43999999997</v>
      </c>
      <c r="FP19" s="794">
        <f t="shared" si="21"/>
        <v>282041.36899999995</v>
      </c>
      <c r="FQ19" s="650">
        <v>77710.069000000003</v>
      </c>
      <c r="FR19" s="650">
        <v>100417.86000000002</v>
      </c>
      <c r="FS19" s="650">
        <v>103913.43999999997</v>
      </c>
      <c r="FT19" s="650">
        <v>282041.36900000001</v>
      </c>
      <c r="FU19" s="955">
        <v>282041.36900000001</v>
      </c>
      <c r="FV19" s="16"/>
      <c r="FW19" s="266"/>
      <c r="GZ19" s="222">
        <v>14</v>
      </c>
      <c r="HA19" s="663">
        <v>14</v>
      </c>
      <c r="HB19" s="663">
        <v>10</v>
      </c>
      <c r="HC19" s="663">
        <v>10</v>
      </c>
      <c r="HD19" s="682">
        <v>132064156</v>
      </c>
      <c r="HE19" s="682">
        <v>135102781</v>
      </c>
      <c r="HF19" s="724">
        <f t="shared" si="22"/>
        <v>1</v>
      </c>
      <c r="HG19" s="724">
        <f t="shared" si="23"/>
        <v>1.0230087034365327</v>
      </c>
      <c r="HH19" s="723">
        <v>0</v>
      </c>
      <c r="HI19" s="723">
        <v>0.8</v>
      </c>
      <c r="HJ19" s="723">
        <v>0.2</v>
      </c>
      <c r="HN19" s="243">
        <v>14</v>
      </c>
      <c r="HO19" s="891">
        <v>14</v>
      </c>
      <c r="HP19" s="793">
        <f t="shared" si="2"/>
        <v>1.0230087034365327</v>
      </c>
      <c r="HQ19" s="650">
        <v>1559</v>
      </c>
      <c r="HR19" s="794">
        <f t="shared" si="24"/>
        <v>1594.8705686575545</v>
      </c>
      <c r="HS19" s="650">
        <v>14594739</v>
      </c>
      <c r="HT19" s="975">
        <v>14929180</v>
      </c>
      <c r="HU19" s="650">
        <v>6813415.3312999997</v>
      </c>
      <c r="HV19" s="975">
        <v>7704857</v>
      </c>
      <c r="HW19" s="650">
        <v>225000</v>
      </c>
      <c r="HX19" s="955">
        <v>225000</v>
      </c>
      <c r="HY19" s="650">
        <f t="shared" si="25"/>
        <v>7039974.3312999997</v>
      </c>
      <c r="HZ19" s="650">
        <f t="shared" si="25"/>
        <v>7931451.8705686573</v>
      </c>
      <c r="IA19" s="206"/>
      <c r="IB19" s="207"/>
      <c r="IC19" s="206"/>
      <c r="ID19" s="244">
        <v>14</v>
      </c>
      <c r="IE19" s="891">
        <v>14</v>
      </c>
      <c r="IF19" s="899">
        <f t="shared" si="3"/>
        <v>1</v>
      </c>
      <c r="IG19" s="900">
        <f t="shared" si="3"/>
        <v>1.0230087034365327</v>
      </c>
      <c r="IH19" s="955">
        <v>2814805.8374684127</v>
      </c>
      <c r="II19" s="794">
        <f t="shared" si="64"/>
        <v>2879570.8702141447</v>
      </c>
      <c r="IJ19" s="955">
        <v>64094.05999999999</v>
      </c>
      <c r="IK19" s="794">
        <f t="shared" si="26"/>
        <v>65568.781218583317</v>
      </c>
      <c r="IL19" s="955">
        <v>1235568.3125315872</v>
      </c>
      <c r="IM19" s="794">
        <f t="shared" si="82"/>
        <v>1235568.3125315872</v>
      </c>
      <c r="IN19" s="955">
        <v>1503458.4280395084</v>
      </c>
      <c r="IO19" s="995">
        <v>1503458.4280395084</v>
      </c>
      <c r="IP19" s="955">
        <v>73355.464999999997</v>
      </c>
      <c r="IQ19" s="794">
        <f t="shared" si="27"/>
        <v>75043.279139633945</v>
      </c>
      <c r="IR19" s="955">
        <v>65086.974999999999</v>
      </c>
      <c r="IS19" s="794">
        <f t="shared" si="28"/>
        <v>66584.541905356018</v>
      </c>
      <c r="IT19" s="955">
        <v>265277.03000000003</v>
      </c>
      <c r="IU19" s="794">
        <f t="shared" si="29"/>
        <v>271380.7105117942</v>
      </c>
      <c r="IV19" s="955">
        <v>767825.7013999999</v>
      </c>
      <c r="IW19" s="794">
        <f t="shared" si="30"/>
        <v>785492.37525446026</v>
      </c>
      <c r="IX19" s="650">
        <f t="shared" si="31"/>
        <v>6789471.8094395082</v>
      </c>
      <c r="IY19" s="650">
        <f t="shared" si="31"/>
        <v>6882667.2988150679</v>
      </c>
      <c r="IZ19" s="683">
        <f t="shared" si="4"/>
        <v>5.0943935038724835</v>
      </c>
      <c r="JD19" s="222">
        <v>14</v>
      </c>
      <c r="JE19" s="663">
        <v>14</v>
      </c>
      <c r="JF19" s="660">
        <f t="shared" si="5"/>
        <v>10</v>
      </c>
      <c r="JG19" s="729">
        <f>JF19</f>
        <v>10</v>
      </c>
      <c r="JH19" s="905">
        <f t="shared" si="6"/>
        <v>135102781</v>
      </c>
      <c r="JI19" s="905">
        <f t="shared" si="83"/>
        <v>134391655.99958828</v>
      </c>
      <c r="JJ19" s="906">
        <f t="shared" si="33"/>
        <v>1</v>
      </c>
      <c r="JK19" s="906">
        <f t="shared" si="34"/>
        <v>0.99473641478622321</v>
      </c>
      <c r="JL19" s="906">
        <f t="shared" si="35"/>
        <v>1.0269678679835805</v>
      </c>
      <c r="JM19" s="663" t="s">
        <v>238</v>
      </c>
      <c r="JN19" s="209"/>
      <c r="JO19" s="210"/>
      <c r="JP19" s="209"/>
      <c r="JQ19" s="222">
        <v>14</v>
      </c>
      <c r="JR19" s="663">
        <v>14</v>
      </c>
      <c r="JS19" s="914" t="str">
        <f t="shared" si="7"/>
        <v>Q3</v>
      </c>
      <c r="JT19" s="913">
        <f t="shared" si="8"/>
        <v>1.0269678679835805</v>
      </c>
      <c r="JU19" s="671">
        <f t="shared" si="36"/>
        <v>1594.8705686575545</v>
      </c>
      <c r="JV19" s="671">
        <f t="shared" si="37"/>
        <v>1637.8808276040095</v>
      </c>
      <c r="JW19" s="671">
        <f t="shared" si="9"/>
        <v>14929180</v>
      </c>
      <c r="JX19" s="671">
        <f t="shared" si="38"/>
        <v>14828759.538887674</v>
      </c>
      <c r="JY19" s="671">
        <f t="shared" si="10"/>
        <v>7704857</v>
      </c>
      <c r="JZ19" s="671">
        <f t="shared" si="11"/>
        <v>6654659.6721908087</v>
      </c>
      <c r="KA19" s="671">
        <f t="shared" si="39"/>
        <v>225000</v>
      </c>
      <c r="KB19" s="671">
        <f t="shared" si="40"/>
        <v>292462.70189691306</v>
      </c>
      <c r="KC19" s="671">
        <f t="shared" si="41"/>
        <v>7931451.8705686573</v>
      </c>
      <c r="KD19" s="671">
        <f t="shared" si="41"/>
        <v>6948760.2549153259</v>
      </c>
      <c r="KE19" s="211"/>
      <c r="KF19" s="210"/>
      <c r="KG19" s="209"/>
      <c r="KH19" s="245">
        <f t="shared" si="65"/>
        <v>14</v>
      </c>
      <c r="KI19" s="917">
        <v>13</v>
      </c>
      <c r="KJ19" s="918">
        <f t="shared" si="66"/>
        <v>1</v>
      </c>
      <c r="KK19" s="918">
        <f t="shared" si="66"/>
        <v>0.99473641478622321</v>
      </c>
      <c r="KL19" s="898">
        <v>1.6626666699999999</v>
      </c>
      <c r="KM19" s="801">
        <f t="shared" si="67"/>
        <v>2312280.153339122</v>
      </c>
      <c r="KN19" s="898">
        <v>1.6626666699999999</v>
      </c>
      <c r="KO19" s="801">
        <f t="shared" si="42"/>
        <v>70827.558502721979</v>
      </c>
      <c r="KP19" s="898">
        <v>1.6626666699999999</v>
      </c>
      <c r="KQ19" s="801">
        <f t="shared" si="43"/>
        <v>1297260.6470498368</v>
      </c>
      <c r="KR19" s="898">
        <v>1.6626666699999999</v>
      </c>
      <c r="KS19" s="801">
        <f t="shared" si="68"/>
        <v>1310996.0822171902</v>
      </c>
      <c r="KT19" s="898">
        <v>1.6626666699999999</v>
      </c>
      <c r="KU19" s="801">
        <f t="shared" si="44"/>
        <v>145823.86479051117</v>
      </c>
      <c r="KV19" s="898">
        <v>1.6626666699999999</v>
      </c>
      <c r="KW19" s="801">
        <f t="shared" si="45"/>
        <v>72847.769398877062</v>
      </c>
      <c r="KX19" s="898">
        <v>1.6626666699999999</v>
      </c>
      <c r="KY19" s="801">
        <f t="shared" si="46"/>
        <v>192887.60830725078</v>
      </c>
      <c r="KZ19" s="898">
        <v>1.6626666699999999</v>
      </c>
      <c r="LA19" s="919">
        <f t="shared" si="47"/>
        <v>576527.10018526774</v>
      </c>
      <c r="LB19" s="646">
        <f t="shared" si="48"/>
        <v>5821296.5475905379</v>
      </c>
      <c r="LC19" s="646">
        <f t="shared" si="79"/>
        <v>5979450.7837907784</v>
      </c>
      <c r="LD19" s="16"/>
      <c r="LE19" s="220"/>
      <c r="LG19" s="222">
        <v>14</v>
      </c>
      <c r="LH19" s="922">
        <v>14</v>
      </c>
      <c r="LI19" s="650">
        <f t="shared" si="12"/>
        <v>7039974.3312999997</v>
      </c>
      <c r="LJ19" s="650">
        <f t="shared" si="12"/>
        <v>7931451.8705686573</v>
      </c>
      <c r="LK19" s="794">
        <f t="shared" si="13"/>
        <v>6948760.2549153259</v>
      </c>
      <c r="LL19" s="650">
        <f t="shared" si="14"/>
        <v>6789471.8094395082</v>
      </c>
      <c r="LM19" s="650">
        <f t="shared" si="14"/>
        <v>6882667.2988150679</v>
      </c>
      <c r="LN19" s="794">
        <f t="shared" si="49"/>
        <v>7068278.1619044198</v>
      </c>
      <c r="LO19" s="650">
        <f t="shared" si="50"/>
        <v>250502.52186049148</v>
      </c>
      <c r="LP19" s="650">
        <f t="shared" si="50"/>
        <v>1048784.5717535894</v>
      </c>
      <c r="LQ19" s="650">
        <f t="shared" si="50"/>
        <v>-119517.90698909387</v>
      </c>
      <c r="MA19" s="192">
        <f t="shared" si="80"/>
        <v>13</v>
      </c>
      <c r="MB19" s="814" t="s">
        <v>50</v>
      </c>
      <c r="MC19" s="860">
        <f t="shared" si="102"/>
        <v>4010208.1181549192</v>
      </c>
      <c r="MD19" s="928">
        <f t="shared" si="103"/>
        <v>0.18374188525883151</v>
      </c>
      <c r="ME19" s="796"/>
      <c r="MF19" s="798">
        <f t="shared" si="104"/>
        <v>4010208.1181549192</v>
      </c>
      <c r="MG19" s="928">
        <f t="shared" si="105"/>
        <v>0.18374188525883151</v>
      </c>
      <c r="MK19" s="192">
        <f t="shared" si="81"/>
        <v>13</v>
      </c>
      <c r="ML19" s="253" t="str">
        <f t="shared" si="53"/>
        <v>Vehicle</v>
      </c>
      <c r="MM19" s="979">
        <v>3545647.9071340258</v>
      </c>
      <c r="MN19" s="860">
        <f t="shared" si="106"/>
        <v>4010208.1181549192</v>
      </c>
      <c r="MO19" s="860">
        <f t="shared" si="70"/>
        <v>464560.21102089342</v>
      </c>
      <c r="MP19" s="802">
        <f t="shared" si="71"/>
        <v>0.13102265740661231</v>
      </c>
    </row>
    <row r="20" spans="1:357" s="29" customFormat="1" ht="16.5" x14ac:dyDescent="0.3">
      <c r="B20" s="181">
        <f t="shared" si="72"/>
        <v>15</v>
      </c>
      <c r="C20" s="251"/>
      <c r="D20" s="804" t="s">
        <v>53</v>
      </c>
      <c r="E20" s="797"/>
      <c r="F20" s="798">
        <f>FP36</f>
        <v>12400752.312759999</v>
      </c>
      <c r="G20" s="799">
        <f t="shared" si="97"/>
        <v>0.59602549136926886</v>
      </c>
      <c r="H20" s="798">
        <f>FU36</f>
        <v>12035251.726130454</v>
      </c>
      <c r="I20" s="800">
        <f t="shared" si="98"/>
        <v>0.57542797450061911</v>
      </c>
      <c r="J20" s="801">
        <f t="shared" si="54"/>
        <v>-365500.58662954532</v>
      </c>
      <c r="K20" s="798">
        <f>IW26</f>
        <v>12737461.434445117</v>
      </c>
      <c r="L20" s="800">
        <f t="shared" si="99"/>
        <v>0.58054000857238874</v>
      </c>
      <c r="M20" s="801">
        <f t="shared" si="55"/>
        <v>702209.7083146628</v>
      </c>
      <c r="N20" s="798">
        <f>LA27</f>
        <v>13100002.279729499</v>
      </c>
      <c r="O20" s="800">
        <f t="shared" si="100"/>
        <v>0.60022299213736274</v>
      </c>
      <c r="P20" s="801">
        <f t="shared" si="56"/>
        <v>362540.84528438188</v>
      </c>
      <c r="Q20" s="798">
        <f t="shared" si="57"/>
        <v>699249.96696949936</v>
      </c>
      <c r="R20" s="802">
        <f t="shared" si="58"/>
        <v>7.0424853112420749E-3</v>
      </c>
      <c r="S20" s="12"/>
      <c r="T20" s="13"/>
      <c r="U20" s="12"/>
      <c r="V20" s="165">
        <f t="shared" si="59"/>
        <v>11</v>
      </c>
      <c r="W20" s="808" t="s">
        <v>132</v>
      </c>
      <c r="X20" s="650">
        <f>X18-X14</f>
        <v>-3866060.2266294365</v>
      </c>
      <c r="Y20" s="650">
        <f t="shared" ref="Y20:AA20" si="110">Y18-Y14</f>
        <v>-5390371.7595799826</v>
      </c>
      <c r="Z20" s="650">
        <f t="shared" si="110"/>
        <v>-9706656.1123414077</v>
      </c>
      <c r="AA20" s="650">
        <f t="shared" si="110"/>
        <v>-18963088.098550826</v>
      </c>
      <c r="AB20" s="230"/>
      <c r="AC20" s="234"/>
      <c r="AD20" s="13"/>
      <c r="AE20" s="12"/>
      <c r="AF20" s="252">
        <f t="shared" si="73"/>
        <v>14</v>
      </c>
      <c r="AG20" s="814" t="s">
        <v>180</v>
      </c>
      <c r="AH20" s="815">
        <f>AH19*3600/$N$24</f>
        <v>3.0451184708403778</v>
      </c>
      <c r="AI20" s="815">
        <f>AI19*3600/$N$24</f>
        <v>0.15128923398834068</v>
      </c>
      <c r="AJ20" s="815">
        <f>AJ19*3600/$N$24</f>
        <v>0.96512218442368358</v>
      </c>
      <c r="AK20" s="12"/>
      <c r="AL20" s="299"/>
      <c r="AM20" s="12"/>
      <c r="AN20" s="192">
        <f t="shared" si="108"/>
        <v>15</v>
      </c>
      <c r="AO20" s="193"/>
      <c r="AP20" s="191" t="s">
        <v>220</v>
      </c>
      <c r="AQ20" s="7"/>
      <c r="AR20" s="195"/>
      <c r="AS20" s="255">
        <v>8347158.8556000106</v>
      </c>
      <c r="AT20" s="256">
        <v>0.81397546749984451</v>
      </c>
      <c r="AU20" s="257"/>
      <c r="AV20" s="255">
        <v>7285795.8646500036</v>
      </c>
      <c r="AW20" s="256">
        <v>0.67512429859622292</v>
      </c>
      <c r="AX20" s="250">
        <f t="shared" si="87"/>
        <v>-0.17058397267193814</v>
      </c>
      <c r="AY20" s="257"/>
      <c r="AZ20" s="255">
        <v>9252422.5520105362</v>
      </c>
      <c r="BA20" s="256">
        <v>0.71716600089519644</v>
      </c>
      <c r="BB20" s="250">
        <f t="shared" si="88"/>
        <v>6.2272536163178183E-2</v>
      </c>
      <c r="BC20" s="257"/>
      <c r="BD20" s="255">
        <v>10915527.954034619</v>
      </c>
      <c r="BE20" s="256">
        <v>0.74224448966694945</v>
      </c>
      <c r="BF20" s="250">
        <f t="shared" si="89"/>
        <v>3.4968875742086292E-2</v>
      </c>
      <c r="BG20" s="257"/>
      <c r="BH20" s="255">
        <v>3838414.9907733351</v>
      </c>
      <c r="BI20" s="256">
        <v>0.25258689065096962</v>
      </c>
      <c r="BJ20" s="250">
        <f t="shared" si="90"/>
        <v>-0.65969853038005422</v>
      </c>
      <c r="BK20" s="257"/>
      <c r="BL20" s="255">
        <v>5658223.4029922634</v>
      </c>
      <c r="BM20" s="256">
        <v>0.33637236438364621</v>
      </c>
      <c r="BN20" s="250">
        <f t="shared" si="91"/>
        <v>0.33170951000958038</v>
      </c>
      <c r="BO20" s="257"/>
      <c r="BP20" s="255">
        <v>8558427.9676000625</v>
      </c>
      <c r="BQ20" s="256">
        <v>0.46142281150297859</v>
      </c>
      <c r="BR20" s="250">
        <f t="shared" si="92"/>
        <v>0.37176195300249848</v>
      </c>
      <c r="BS20" s="257"/>
      <c r="BT20" s="29">
        <v>12790093</v>
      </c>
      <c r="BU20" s="29">
        <v>0.65</v>
      </c>
      <c r="BV20" s="29">
        <f t="shared" si="93"/>
        <v>0.40868631501501773</v>
      </c>
      <c r="BW20" s="258">
        <v>16992816.141500026</v>
      </c>
      <c r="BX20" s="259">
        <v>0.87785804171546822</v>
      </c>
      <c r="BY20" s="260">
        <f t="shared" si="60"/>
        <v>0.35055083340841264</v>
      </c>
      <c r="BZ20" s="260">
        <v>13569776.854138836</v>
      </c>
      <c r="CA20" s="260">
        <v>0.66521868747413349</v>
      </c>
      <c r="CB20" s="260">
        <f t="shared" si="61"/>
        <v>-0.24222521653478857</v>
      </c>
      <c r="CC20" s="956">
        <v>5345041.1556581259</v>
      </c>
      <c r="CD20" s="956">
        <v>0.25717234263122563</v>
      </c>
      <c r="CE20" s="802">
        <f t="shared" si="101"/>
        <v>-0.61340180684381995</v>
      </c>
      <c r="CF20" s="798">
        <f t="shared" si="109"/>
        <v>7158976.8429704905</v>
      </c>
      <c r="CG20" s="831">
        <f t="shared" si="109"/>
        <v>0.3440865991769031</v>
      </c>
      <c r="CH20" s="802">
        <f t="shared" si="95"/>
        <v>0.33796113398674787</v>
      </c>
      <c r="CI20" s="832">
        <f>CF20/AS20-1</f>
        <v>-0.14234568110949308</v>
      </c>
      <c r="CJ20" s="802">
        <f t="shared" si="96"/>
        <v>-8.4945023382365648E-3</v>
      </c>
      <c r="CK20" s="12"/>
      <c r="CL20" s="13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3"/>
      <c r="CZ20" s="12"/>
      <c r="DA20" s="287"/>
      <c r="DB20" s="12"/>
      <c r="DC20" s="12"/>
      <c r="DD20" s="12"/>
      <c r="DE20" s="12"/>
      <c r="DF20" s="12"/>
      <c r="DG20" s="12"/>
      <c r="DH20" s="12"/>
      <c r="DI20" s="13"/>
      <c r="DJ20" s="12"/>
      <c r="DK20" s="12"/>
      <c r="DL20" s="12"/>
      <c r="DM20" s="12"/>
      <c r="DN20" s="12"/>
      <c r="DO20" s="12"/>
      <c r="DP20" s="12"/>
      <c r="DQ20" s="12"/>
      <c r="DR20" s="1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3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266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66"/>
      <c r="FI20" s="12"/>
      <c r="FJ20" s="312">
        <f t="shared" si="78"/>
        <v>15</v>
      </c>
      <c r="FK20" s="318"/>
      <c r="FL20" s="319" t="s">
        <v>221</v>
      </c>
      <c r="FM20" s="320">
        <f>SUM(FM7:FM19)</f>
        <v>1384457.0804999999</v>
      </c>
      <c r="FN20" s="320">
        <f>SUM(FN7:FN19)</f>
        <v>2365134.79</v>
      </c>
      <c r="FO20" s="320">
        <f>SUM(FO7:FO19)</f>
        <v>3499048.7027100003</v>
      </c>
      <c r="FP20" s="321">
        <f t="shared" si="21"/>
        <v>7248640.5732100001</v>
      </c>
      <c r="FQ20" s="320">
        <v>1361253.4714090908</v>
      </c>
      <c r="FR20" s="320">
        <v>2221615.8199999998</v>
      </c>
      <c r="FS20" s="320">
        <v>3507529.9327099998</v>
      </c>
      <c r="FT20" s="320">
        <v>7090399.2241190914</v>
      </c>
      <c r="FU20" s="971">
        <v>7090399.2241190914</v>
      </c>
      <c r="FV20" s="16"/>
      <c r="FW20" s="266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3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3"/>
      <c r="GX20" s="12"/>
      <c r="GY20" s="12"/>
      <c r="GZ20" s="192">
        <v>15</v>
      </c>
      <c r="HA20" s="886">
        <v>15</v>
      </c>
      <c r="HB20" s="886">
        <v>10</v>
      </c>
      <c r="HC20" s="886">
        <v>10</v>
      </c>
      <c r="HD20" s="887">
        <v>151054973</v>
      </c>
      <c r="HE20" s="887">
        <v>153653848</v>
      </c>
      <c r="HF20" s="800">
        <f t="shared" si="22"/>
        <v>1</v>
      </c>
      <c r="HG20" s="800">
        <f t="shared" si="23"/>
        <v>1.0172048291319744</v>
      </c>
      <c r="HH20" s="802">
        <v>0</v>
      </c>
      <c r="HI20" s="802">
        <v>0.6</v>
      </c>
      <c r="HJ20" s="802">
        <v>0.4</v>
      </c>
      <c r="HK20" s="12"/>
      <c r="HL20" s="13"/>
      <c r="HM20" s="12"/>
      <c r="HN20" s="267">
        <v>15</v>
      </c>
      <c r="HO20" s="892">
        <v>15</v>
      </c>
      <c r="HP20" s="799">
        <f t="shared" si="2"/>
        <v>1.0172048291319744</v>
      </c>
      <c r="HQ20" s="860">
        <v>107001.53</v>
      </c>
      <c r="HR20" s="801">
        <f>HP20*HQ20</f>
        <v>108842.47304050984</v>
      </c>
      <c r="HS20" s="860">
        <v>16599582</v>
      </c>
      <c r="HT20" s="975">
        <v>16910947</v>
      </c>
      <c r="HU20" s="860">
        <v>7195326.9701999994</v>
      </c>
      <c r="HV20" s="975">
        <v>8565286</v>
      </c>
      <c r="HW20" s="860">
        <v>225000</v>
      </c>
      <c r="HX20" s="955">
        <v>225000</v>
      </c>
      <c r="HY20" s="860">
        <f t="shared" si="25"/>
        <v>7527328.5001999997</v>
      </c>
      <c r="HZ20" s="860">
        <f t="shared" si="25"/>
        <v>8899128.47304051</v>
      </c>
      <c r="IA20" s="206"/>
      <c r="IB20" s="207"/>
      <c r="IC20" s="206"/>
      <c r="ID20" s="208">
        <v>15</v>
      </c>
      <c r="IE20" s="892">
        <v>15</v>
      </c>
      <c r="IF20" s="896">
        <f t="shared" si="3"/>
        <v>1</v>
      </c>
      <c r="IG20" s="897">
        <f t="shared" si="3"/>
        <v>1.0172048291319744</v>
      </c>
      <c r="IH20" s="955">
        <v>2939270.0717588281</v>
      </c>
      <c r="II20" s="801">
        <f t="shared" si="64"/>
        <v>2989839.7111161649</v>
      </c>
      <c r="IJ20" s="955">
        <v>164458.5644</v>
      </c>
      <c r="IK20" s="801">
        <f t="shared" si="26"/>
        <v>167288.04589979182</v>
      </c>
      <c r="IL20" s="955">
        <v>1239730.2338411715</v>
      </c>
      <c r="IM20" s="801">
        <f t="shared" si="82"/>
        <v>1239730.2338411715</v>
      </c>
      <c r="IN20" s="955">
        <v>1823650.9582650054</v>
      </c>
      <c r="IO20" s="995">
        <v>1823650.9582650054</v>
      </c>
      <c r="IP20" s="955">
        <v>148263.52149999997</v>
      </c>
      <c r="IQ20" s="801">
        <f t="shared" si="27"/>
        <v>150814.37005391228</v>
      </c>
      <c r="IR20" s="955">
        <v>61819.527166666667</v>
      </c>
      <c r="IS20" s="801">
        <f t="shared" si="28"/>
        <v>62883.12156858862</v>
      </c>
      <c r="IT20" s="955">
        <v>308605.27999999997</v>
      </c>
      <c r="IU20" s="801">
        <f t="shared" si="29"/>
        <v>313914.78111162508</v>
      </c>
      <c r="IV20" s="955">
        <v>575127.48739999998</v>
      </c>
      <c r="IW20" s="801">
        <f t="shared" si="30"/>
        <v>585022.45754981879</v>
      </c>
      <c r="IX20" s="860">
        <f t="shared" si="31"/>
        <v>7260925.6443316713</v>
      </c>
      <c r="IY20" s="860">
        <f t="shared" si="31"/>
        <v>7333143.6794060785</v>
      </c>
      <c r="IZ20" s="898">
        <f t="shared" si="4"/>
        <v>4.7725089705570403</v>
      </c>
      <c r="JA20" s="12"/>
      <c r="JB20" s="13"/>
      <c r="JC20" s="12"/>
      <c r="JD20" s="192">
        <v>15</v>
      </c>
      <c r="JE20" s="886">
        <v>15</v>
      </c>
      <c r="JF20" s="796">
        <f t="shared" si="5"/>
        <v>10</v>
      </c>
      <c r="JG20" s="804">
        <f>JF20</f>
        <v>10</v>
      </c>
      <c r="JH20" s="859">
        <f t="shared" si="6"/>
        <v>153653848</v>
      </c>
      <c r="JI20" s="859">
        <f t="shared" si="83"/>
        <v>152845077.87762728</v>
      </c>
      <c r="JJ20" s="904">
        <f t="shared" si="33"/>
        <v>1</v>
      </c>
      <c r="JK20" s="904">
        <f t="shared" si="34"/>
        <v>0.9947364147862231</v>
      </c>
      <c r="JL20" s="904">
        <f t="shared" si="35"/>
        <v>1.0408473928490587</v>
      </c>
      <c r="JM20" s="886" t="s">
        <v>425</v>
      </c>
      <c r="JN20" s="209"/>
      <c r="JO20" s="210"/>
      <c r="JP20" s="209"/>
      <c r="JQ20" s="192">
        <v>15</v>
      </c>
      <c r="JR20" s="886">
        <v>15</v>
      </c>
      <c r="JS20" s="910" t="str">
        <f t="shared" si="7"/>
        <v>Q2</v>
      </c>
      <c r="JT20" s="911">
        <f t="shared" si="8"/>
        <v>1.0408473928490587</v>
      </c>
      <c r="JU20" s="860">
        <f t="shared" si="36"/>
        <v>108842.47304050984</v>
      </c>
      <c r="JV20" s="860">
        <f t="shared" si="37"/>
        <v>113288.40429545862</v>
      </c>
      <c r="JW20" s="860">
        <f t="shared" si="9"/>
        <v>16910947</v>
      </c>
      <c r="JX20" s="860">
        <f t="shared" si="38"/>
        <v>16864907.941582613</v>
      </c>
      <c r="JY20" s="860">
        <f t="shared" si="10"/>
        <v>8565286</v>
      </c>
      <c r="JZ20" s="860">
        <f t="shared" si="11"/>
        <v>7568416.1213715971</v>
      </c>
      <c r="KA20" s="860">
        <f t="shared" si="39"/>
        <v>225000</v>
      </c>
      <c r="KB20" s="860">
        <f t="shared" si="40"/>
        <v>332620.98093256564</v>
      </c>
      <c r="KC20" s="860">
        <f t="shared" si="41"/>
        <v>8899128.47304051</v>
      </c>
      <c r="KD20" s="860">
        <f t="shared" si="41"/>
        <v>8014325.5065996209</v>
      </c>
      <c r="KE20" s="211"/>
      <c r="KF20" s="210"/>
      <c r="KG20" s="209"/>
      <c r="KH20" s="243">
        <f t="shared" si="65"/>
        <v>15</v>
      </c>
      <c r="KI20" s="891">
        <v>14</v>
      </c>
      <c r="KJ20" s="920">
        <f t="shared" si="66"/>
        <v>1</v>
      </c>
      <c r="KK20" s="920">
        <f t="shared" si="66"/>
        <v>0.99473641478622321</v>
      </c>
      <c r="KL20" s="683">
        <v>1.6626666699999999</v>
      </c>
      <c r="KM20" s="794">
        <f t="shared" si="67"/>
        <v>2951012.5720269755</v>
      </c>
      <c r="KN20" s="683">
        <v>1.6626666699999999</v>
      </c>
      <c r="KO20" s="794">
        <f t="shared" si="42"/>
        <v>67195.532400331591</v>
      </c>
      <c r="KP20" s="683">
        <v>1.6626666699999999</v>
      </c>
      <c r="KQ20" s="794">
        <f t="shared" si="43"/>
        <v>1272922.7057777585</v>
      </c>
      <c r="KR20" s="683">
        <v>1.6626666699999999</v>
      </c>
      <c r="KS20" s="794">
        <f t="shared" si="68"/>
        <v>1548911.8252986118</v>
      </c>
      <c r="KT20" s="683">
        <v>1.6626666699999999</v>
      </c>
      <c r="KU20" s="794">
        <f t="shared" si="44"/>
        <v>76905.091129332272</v>
      </c>
      <c r="KV20" s="683">
        <v>1.6626666699999999</v>
      </c>
      <c r="KW20" s="794">
        <f t="shared" si="45"/>
        <v>68236.49395048579</v>
      </c>
      <c r="KX20" s="683">
        <v>1.6626666699999999</v>
      </c>
      <c r="KY20" s="794">
        <f t="shared" si="46"/>
        <v>278113.6233908218</v>
      </c>
      <c r="KZ20" s="683">
        <v>1.6626666699999999</v>
      </c>
      <c r="LA20" s="794">
        <f t="shared" si="47"/>
        <v>804980.317930102</v>
      </c>
      <c r="LB20" s="650">
        <f t="shared" si="48"/>
        <v>6882667.2988150679</v>
      </c>
      <c r="LC20" s="650">
        <f t="shared" si="79"/>
        <v>7068278.1619044198</v>
      </c>
      <c r="LD20" s="16"/>
      <c r="LE20" s="220"/>
      <c r="LF20" s="12"/>
      <c r="LG20" s="192">
        <v>15</v>
      </c>
      <c r="LH20" s="921">
        <v>15</v>
      </c>
      <c r="LI20" s="860">
        <f t="shared" si="12"/>
        <v>7527328.5001999997</v>
      </c>
      <c r="LJ20" s="860">
        <f t="shared" si="12"/>
        <v>8899128.47304051</v>
      </c>
      <c r="LK20" s="801">
        <f t="shared" si="13"/>
        <v>8014325.5065996209</v>
      </c>
      <c r="LL20" s="860">
        <f t="shared" si="14"/>
        <v>7260925.6443316713</v>
      </c>
      <c r="LM20" s="860">
        <f t="shared" si="14"/>
        <v>7333143.6794060785</v>
      </c>
      <c r="LN20" s="801">
        <f t="shared" si="49"/>
        <v>7632683.4800973702</v>
      </c>
      <c r="LO20" s="860">
        <f t="shared" si="50"/>
        <v>266402.85586832836</v>
      </c>
      <c r="LP20" s="860">
        <f t="shared" si="50"/>
        <v>1565984.7936344314</v>
      </c>
      <c r="LQ20" s="860">
        <f t="shared" si="50"/>
        <v>381642.02650225069</v>
      </c>
      <c r="LR20" s="12"/>
      <c r="LS20" s="13"/>
      <c r="LT20" s="12"/>
      <c r="LU20" s="12"/>
      <c r="LV20" s="12"/>
      <c r="LW20" s="12"/>
      <c r="LX20" s="12"/>
      <c r="LY20" s="13"/>
      <c r="LZ20" s="12"/>
      <c r="MA20" s="293">
        <f t="shared" si="80"/>
        <v>14</v>
      </c>
      <c r="MB20" s="816" t="s">
        <v>53</v>
      </c>
      <c r="MC20" s="929">
        <f t="shared" si="102"/>
        <v>13100002.279729499</v>
      </c>
      <c r="MD20" s="930">
        <f t="shared" si="103"/>
        <v>0.60022299213736274</v>
      </c>
      <c r="ME20" s="839"/>
      <c r="MF20" s="931">
        <f t="shared" si="104"/>
        <v>13100002.279729499</v>
      </c>
      <c r="MG20" s="930">
        <f t="shared" si="105"/>
        <v>0.60022299213736274</v>
      </c>
      <c r="MH20" s="12"/>
      <c r="MI20" s="13"/>
      <c r="MJ20" s="12"/>
      <c r="MK20" s="293">
        <f t="shared" si="81"/>
        <v>14</v>
      </c>
      <c r="ML20" s="272" t="str">
        <f t="shared" si="53"/>
        <v>Overhead</v>
      </c>
      <c r="MM20" s="980">
        <v>10556442.680443538</v>
      </c>
      <c r="MN20" s="929">
        <f t="shared" si="106"/>
        <v>13100002.279729499</v>
      </c>
      <c r="MO20" s="929">
        <f t="shared" si="70"/>
        <v>2543559.5992859602</v>
      </c>
      <c r="MP20" s="940">
        <f t="shared" si="71"/>
        <v>0.2409485540046612</v>
      </c>
      <c r="MQ20" s="12"/>
      <c r="MR20" s="13"/>
      <c r="MS20" s="12"/>
    </row>
    <row r="21" spans="1:357" ht="17.25" thickBot="1" x14ac:dyDescent="0.35">
      <c r="A21" s="5"/>
      <c r="B21" s="143">
        <f t="shared" si="72"/>
        <v>16</v>
      </c>
      <c r="C21" s="307" t="s">
        <v>222</v>
      </c>
      <c r="D21" s="307"/>
      <c r="E21" s="308"/>
      <c r="F21" s="322">
        <f>SUM(F14:F20)</f>
        <v>104216563.686424</v>
      </c>
      <c r="G21" s="323">
        <f t="shared" si="97"/>
        <v>5.0090290502861157</v>
      </c>
      <c r="H21" s="322">
        <f>SUM(H14:H20)</f>
        <v>101285634.88093203</v>
      </c>
      <c r="I21" s="324">
        <f t="shared" si="98"/>
        <v>4.842656310960507</v>
      </c>
      <c r="J21" s="325">
        <f t="shared" si="54"/>
        <v>-2930928.805491969</v>
      </c>
      <c r="K21" s="322">
        <f>SUM(K14:K20)</f>
        <v>106424488.89034145</v>
      </c>
      <c r="L21" s="324">
        <f t="shared" si="99"/>
        <v>4.8505484401808046</v>
      </c>
      <c r="M21" s="325">
        <f t="shared" si="55"/>
        <v>5138854.0094094127</v>
      </c>
      <c r="N21" s="322">
        <f>SUM(N14:N20)</f>
        <v>109537344.64773695</v>
      </c>
      <c r="O21" s="324">
        <f t="shared" si="100"/>
        <v>5.018841321652336</v>
      </c>
      <c r="P21" s="325">
        <f t="shared" si="56"/>
        <v>3112855.7573955059</v>
      </c>
      <c r="Q21" s="322">
        <f t="shared" si="57"/>
        <v>5320780.9613129497</v>
      </c>
      <c r="R21" s="326">
        <f t="shared" si="58"/>
        <v>1.9589168415103941E-3</v>
      </c>
      <c r="V21" s="185"/>
      <c r="W21" s="186" t="s">
        <v>27</v>
      </c>
      <c r="X21" s="269"/>
      <c r="Y21" s="270"/>
      <c r="Z21" s="270"/>
      <c r="AA21" s="270"/>
      <c r="AB21" s="189"/>
      <c r="AC21" s="236"/>
      <c r="AF21" s="327">
        <f t="shared" si="73"/>
        <v>15</v>
      </c>
      <c r="AG21" s="819" t="s">
        <v>187</v>
      </c>
      <c r="AH21" s="820">
        <f>KM27/AH19</f>
        <v>21.5909155817974</v>
      </c>
      <c r="AI21" s="820">
        <f>KO27/AI19</f>
        <v>21.62457881132984</v>
      </c>
      <c r="AJ21" s="820">
        <f>KQ27/AJ19</f>
        <v>32.768848092605424</v>
      </c>
      <c r="AL21" s="299"/>
      <c r="AN21" s="1055" t="s">
        <v>223</v>
      </c>
      <c r="AO21" s="1055"/>
      <c r="AP21" s="1055"/>
      <c r="AQ21" s="1055"/>
      <c r="AR21" s="1055"/>
      <c r="AS21" s="1055"/>
      <c r="AT21" s="1055"/>
      <c r="AU21" s="1055"/>
      <c r="AV21" s="1055"/>
      <c r="AW21" s="1055"/>
      <c r="AX21" s="1055"/>
      <c r="AY21" s="1055"/>
      <c r="AZ21" s="1055"/>
      <c r="BA21" s="1055"/>
      <c r="BB21" s="1055"/>
      <c r="BC21" s="1055"/>
      <c r="BD21" s="1055"/>
      <c r="BE21" s="1055"/>
      <c r="BF21" s="1055"/>
      <c r="BG21" s="1055"/>
      <c r="BH21" s="1055"/>
      <c r="BI21" s="1055"/>
      <c r="BJ21" s="1055"/>
      <c r="BK21" s="1055"/>
      <c r="BL21" s="1055"/>
      <c r="BM21" s="1055"/>
      <c r="BN21" s="1055"/>
      <c r="BO21" s="1055"/>
      <c r="BP21" s="1055"/>
      <c r="BQ21" s="1055"/>
      <c r="BR21" s="1055"/>
      <c r="BS21" s="1055"/>
      <c r="BT21" s="1056"/>
      <c r="BU21" s="1056"/>
      <c r="BV21" s="1056"/>
      <c r="BW21" s="1056"/>
      <c r="BX21" s="1056"/>
      <c r="BY21" s="1056"/>
      <c r="BZ21" s="1056"/>
      <c r="CA21" s="1056"/>
      <c r="CB21" s="1056"/>
      <c r="CC21" s="1056"/>
      <c r="CD21" s="1056"/>
      <c r="CE21" s="1056"/>
      <c r="CF21" s="1056"/>
      <c r="CG21" s="1056"/>
      <c r="CH21" s="1056"/>
      <c r="CI21" s="1055"/>
      <c r="CJ21" s="1055"/>
      <c r="DA21" s="287"/>
      <c r="DD21" s="12"/>
      <c r="DU21" s="12"/>
      <c r="DV21" s="12"/>
      <c r="DW21" s="12"/>
      <c r="DX21" s="12"/>
      <c r="DY21" s="12"/>
      <c r="ER21" s="266"/>
      <c r="FH21" s="266"/>
      <c r="FJ21" s="222">
        <f t="shared" si="78"/>
        <v>16</v>
      </c>
      <c r="FK21" s="15" t="s">
        <v>224</v>
      </c>
      <c r="FL21" s="308"/>
      <c r="FM21" s="329"/>
      <c r="FN21" s="329"/>
      <c r="FO21" s="329"/>
      <c r="FP21" s="330"/>
      <c r="FQ21" s="329"/>
      <c r="FR21" s="329"/>
      <c r="FS21" s="329"/>
      <c r="FT21" s="329"/>
      <c r="FU21" s="329"/>
      <c r="FV21" s="16"/>
      <c r="FW21" s="266"/>
      <c r="GZ21" s="222">
        <v>16</v>
      </c>
      <c r="HA21" s="663">
        <v>16</v>
      </c>
      <c r="HB21" s="663">
        <v>10</v>
      </c>
      <c r="HC21" s="663">
        <v>10</v>
      </c>
      <c r="HD21" s="682">
        <v>161434968</v>
      </c>
      <c r="HE21" s="682">
        <v>163801024</v>
      </c>
      <c r="HF21" s="724">
        <f t="shared" si="22"/>
        <v>1</v>
      </c>
      <c r="HG21" s="724">
        <f t="shared" si="23"/>
        <v>1.0146564033140577</v>
      </c>
      <c r="HH21" s="723">
        <v>0</v>
      </c>
      <c r="HI21" s="723">
        <v>0.5</v>
      </c>
      <c r="HJ21" s="723">
        <v>0.5</v>
      </c>
      <c r="HN21" s="243">
        <v>16</v>
      </c>
      <c r="HO21" s="891">
        <v>16</v>
      </c>
      <c r="HP21" s="793">
        <f t="shared" si="2"/>
        <v>1.0146564033140577</v>
      </c>
      <c r="HQ21" s="650">
        <v>39583.630000000005</v>
      </c>
      <c r="HR21" s="794">
        <f t="shared" si="24"/>
        <v>40163.783645914438</v>
      </c>
      <c r="HS21" s="650">
        <v>17950787</v>
      </c>
      <c r="HT21" s="975">
        <v>18206967</v>
      </c>
      <c r="HU21" s="650">
        <v>8597440.1903000008</v>
      </c>
      <c r="HV21" s="975">
        <v>9402320</v>
      </c>
      <c r="HW21" s="650">
        <v>225000</v>
      </c>
      <c r="HX21" s="955">
        <v>225000</v>
      </c>
      <c r="HY21" s="650">
        <f t="shared" si="25"/>
        <v>8862023.8203000017</v>
      </c>
      <c r="HZ21" s="650">
        <f t="shared" si="25"/>
        <v>9667483.7836459149</v>
      </c>
      <c r="IA21" s="206"/>
      <c r="IB21" s="207"/>
      <c r="IC21" s="206"/>
      <c r="ID21" s="244">
        <v>16</v>
      </c>
      <c r="IE21" s="891">
        <v>16</v>
      </c>
      <c r="IF21" s="899">
        <f t="shared" si="3"/>
        <v>1</v>
      </c>
      <c r="IG21" s="900">
        <f t="shared" si="3"/>
        <v>1.0146564033140577</v>
      </c>
      <c r="IH21" s="955">
        <v>2733563.4377292385</v>
      </c>
      <c r="II21" s="794">
        <f t="shared" si="64"/>
        <v>2773627.6459571603</v>
      </c>
      <c r="IJ21" s="955">
        <v>60011.618999999992</v>
      </c>
      <c r="IK21" s="794">
        <f t="shared" si="26"/>
        <v>60891.173491593559</v>
      </c>
      <c r="IL21" s="955">
        <v>1492298.6492707615</v>
      </c>
      <c r="IM21" s="794">
        <f t="shared" si="82"/>
        <v>1492298.6492707615</v>
      </c>
      <c r="IN21" s="955">
        <v>1885780.2045426611</v>
      </c>
      <c r="IO21" s="995">
        <v>1885780.2045426611</v>
      </c>
      <c r="IP21" s="955">
        <v>135685.57333333336</v>
      </c>
      <c r="IQ21" s="794">
        <f t="shared" si="27"/>
        <v>137674.23582000585</v>
      </c>
      <c r="IR21" s="955">
        <v>52965.553333333351</v>
      </c>
      <c r="IS21" s="794">
        <f t="shared" si="28"/>
        <v>53741.837844738919</v>
      </c>
      <c r="IT21" s="955">
        <v>1053043.42</v>
      </c>
      <c r="IU21" s="794">
        <f t="shared" si="29"/>
        <v>1068477.2490707345</v>
      </c>
      <c r="IV21" s="955">
        <v>917174.10305000003</v>
      </c>
      <c r="IW21" s="794">
        <f t="shared" si="30"/>
        <v>930616.57661350991</v>
      </c>
      <c r="IX21" s="650">
        <f t="shared" si="31"/>
        <v>8330522.5602593282</v>
      </c>
      <c r="IY21" s="650">
        <f t="shared" si="31"/>
        <v>8403107.5726111662</v>
      </c>
      <c r="IZ21" s="683">
        <f t="shared" si="4"/>
        <v>5.1300702324126899</v>
      </c>
      <c r="JD21" s="222">
        <v>16</v>
      </c>
      <c r="JE21" s="663">
        <v>16</v>
      </c>
      <c r="JF21" s="660">
        <f t="shared" si="5"/>
        <v>10</v>
      </c>
      <c r="JG21" s="729">
        <f>JF21</f>
        <v>10</v>
      </c>
      <c r="JH21" s="905">
        <f t="shared" si="6"/>
        <v>163801024</v>
      </c>
      <c r="JI21" s="905">
        <f t="shared" si="83"/>
        <v>162938843.35207209</v>
      </c>
      <c r="JJ21" s="906">
        <f t="shared" si="33"/>
        <v>1</v>
      </c>
      <c r="JK21" s="906">
        <f t="shared" si="34"/>
        <v>0.9947364147862231</v>
      </c>
      <c r="JL21" s="906">
        <f t="shared" si="35"/>
        <v>1.026989794503236</v>
      </c>
      <c r="JM21" s="663" t="s">
        <v>238</v>
      </c>
      <c r="JN21" s="209"/>
      <c r="JO21" s="210"/>
      <c r="JP21" s="209"/>
      <c r="JQ21" s="222">
        <v>16</v>
      </c>
      <c r="JR21" s="663">
        <v>16</v>
      </c>
      <c r="JS21" s="914" t="str">
        <f t="shared" si="7"/>
        <v>Q3</v>
      </c>
      <c r="JT21" s="913">
        <f t="shared" si="8"/>
        <v>1.026989794503236</v>
      </c>
      <c r="JU21" s="671">
        <f t="shared" si="36"/>
        <v>40163.783645914438</v>
      </c>
      <c r="JV21" s="671">
        <f t="shared" si="37"/>
        <v>41247.795912990099</v>
      </c>
      <c r="JW21" s="671">
        <f t="shared" si="9"/>
        <v>18206967</v>
      </c>
      <c r="JX21" s="671">
        <f t="shared" si="38"/>
        <v>17978652.838534601</v>
      </c>
      <c r="JY21" s="671">
        <f t="shared" si="10"/>
        <v>9402320</v>
      </c>
      <c r="JZ21" s="671">
        <f t="shared" si="11"/>
        <v>8068228.2082436085</v>
      </c>
      <c r="KA21" s="671">
        <f t="shared" si="39"/>
        <v>225000</v>
      </c>
      <c r="KB21" s="671">
        <f t="shared" si="40"/>
        <v>354587.00182138442</v>
      </c>
      <c r="KC21" s="671">
        <f t="shared" si="41"/>
        <v>9667483.7836459149</v>
      </c>
      <c r="KD21" s="671">
        <f t="shared" si="41"/>
        <v>8464063.0059779827</v>
      </c>
      <c r="KE21" s="211"/>
      <c r="KF21" s="210"/>
      <c r="KG21" s="209"/>
      <c r="KH21" s="245">
        <f t="shared" si="65"/>
        <v>16</v>
      </c>
      <c r="KI21" s="917">
        <v>15</v>
      </c>
      <c r="KJ21" s="918">
        <f t="shared" si="66"/>
        <v>1</v>
      </c>
      <c r="KK21" s="918">
        <f t="shared" si="66"/>
        <v>0.9947364147862231</v>
      </c>
      <c r="KL21" s="898">
        <v>1.6406666700000001</v>
      </c>
      <c r="KM21" s="801">
        <f t="shared" si="67"/>
        <v>3105103.1331811878</v>
      </c>
      <c r="KN21" s="898">
        <v>1.6406666700000001</v>
      </c>
      <c r="KO21" s="801">
        <f t="shared" si="42"/>
        <v>173737.28549256662</v>
      </c>
      <c r="KP21" s="898">
        <v>1.6406666700000001</v>
      </c>
      <c r="KQ21" s="801">
        <f t="shared" si="43"/>
        <v>1294336.8016079334</v>
      </c>
      <c r="KR21" s="898">
        <v>1.6406666700000001</v>
      </c>
      <c r="KS21" s="801">
        <f t="shared" si="68"/>
        <v>1903977.5623253663</v>
      </c>
      <c r="KT21" s="898">
        <v>1.6406666700000001</v>
      </c>
      <c r="KU21" s="801">
        <f t="shared" si="44"/>
        <v>156628.5213357899</v>
      </c>
      <c r="KV21" s="898">
        <v>1.6406666700000001</v>
      </c>
      <c r="KW21" s="801">
        <f t="shared" si="45"/>
        <v>65307.373194914282</v>
      </c>
      <c r="KX21" s="898">
        <v>1.6406666700000001</v>
      </c>
      <c r="KY21" s="801">
        <f t="shared" si="46"/>
        <v>326016.73151826113</v>
      </c>
      <c r="KZ21" s="898">
        <v>1.6406666700000001</v>
      </c>
      <c r="LA21" s="919">
        <f t="shared" si="47"/>
        <v>607576.07144135016</v>
      </c>
      <c r="LB21" s="646">
        <f t="shared" si="48"/>
        <v>7333143.6794060785</v>
      </c>
      <c r="LC21" s="646">
        <f t="shared" si="79"/>
        <v>7632683.4800973702</v>
      </c>
      <c r="LD21" s="16"/>
      <c r="LE21" s="220"/>
      <c r="LG21" s="222">
        <v>16</v>
      </c>
      <c r="LH21" s="922">
        <v>16</v>
      </c>
      <c r="LI21" s="650">
        <f t="shared" si="12"/>
        <v>8862023.8203000017</v>
      </c>
      <c r="LJ21" s="650">
        <f t="shared" si="12"/>
        <v>9667483.7836459149</v>
      </c>
      <c r="LK21" s="794">
        <f t="shared" si="13"/>
        <v>8464063.0059779827</v>
      </c>
      <c r="LL21" s="650">
        <f t="shared" si="14"/>
        <v>8330522.5602593282</v>
      </c>
      <c r="LM21" s="650">
        <f t="shared" si="14"/>
        <v>8403107.5726111662</v>
      </c>
      <c r="LN21" s="794">
        <f t="shared" si="49"/>
        <v>8629905.7191845272</v>
      </c>
      <c r="LO21" s="650">
        <f t="shared" si="50"/>
        <v>531501.26004067343</v>
      </c>
      <c r="LP21" s="650">
        <f t="shared" si="50"/>
        <v>1264376.2110347487</v>
      </c>
      <c r="LQ21" s="650">
        <f t="shared" si="50"/>
        <v>-165842.71320654452</v>
      </c>
      <c r="MA21" s="192">
        <f t="shared" si="80"/>
        <v>15</v>
      </c>
      <c r="MB21" s="194" t="s">
        <v>59</v>
      </c>
      <c r="MC21" s="320">
        <f t="shared" si="102"/>
        <v>109537344.64773695</v>
      </c>
      <c r="MD21" s="331">
        <f t="shared" si="103"/>
        <v>5.018841321652336</v>
      </c>
      <c r="ME21" s="194"/>
      <c r="MF21" s="332">
        <f>SUM(MF14:MF20)</f>
        <v>109537344.64773695</v>
      </c>
      <c r="MG21" s="331">
        <f t="shared" si="105"/>
        <v>5.018841321652336</v>
      </c>
      <c r="MK21" s="192">
        <f t="shared" si="81"/>
        <v>15</v>
      </c>
      <c r="ML21" s="194" t="str">
        <f t="shared" si="53"/>
        <v>Total Operating Expenses</v>
      </c>
      <c r="MM21" s="981">
        <v>93608877.605802789</v>
      </c>
      <c r="MN21" s="333">
        <f t="shared" si="106"/>
        <v>109537344.64773695</v>
      </c>
      <c r="MO21" s="333">
        <f t="shared" si="70"/>
        <v>15928467.041934162</v>
      </c>
      <c r="MP21" s="945">
        <f t="shared" si="71"/>
        <v>0.17015979092293657</v>
      </c>
    </row>
    <row r="22" spans="1:357" s="29" customFormat="1" ht="16.5" x14ac:dyDescent="0.3">
      <c r="A22" s="7"/>
      <c r="B22" s="181">
        <f t="shared" si="72"/>
        <v>17</v>
      </c>
      <c r="C22" s="194" t="s">
        <v>220</v>
      </c>
      <c r="D22" s="194"/>
      <c r="E22" s="199"/>
      <c r="F22" s="332">
        <f>F12-F21</f>
        <v>7158976.8429704905</v>
      </c>
      <c r="G22" s="334">
        <f t="shared" si="97"/>
        <v>0.3440865991769031</v>
      </c>
      <c r="H22" s="332">
        <f>H12-H21</f>
        <v>5069183.3865407258</v>
      </c>
      <c r="I22" s="335">
        <f t="shared" si="98"/>
        <v>0.24236717227577007</v>
      </c>
      <c r="J22" s="321">
        <f t="shared" si="54"/>
        <v>-2089793.4564297646</v>
      </c>
      <c r="K22" s="332">
        <f>K12-K21</f>
        <v>22581473.325630128</v>
      </c>
      <c r="L22" s="335">
        <f t="shared" si="99"/>
        <v>1.0292041931202573</v>
      </c>
      <c r="M22" s="321">
        <f t="shared" si="55"/>
        <v>17512289.939089403</v>
      </c>
      <c r="N22" s="332">
        <f>N12-N21</f>
        <v>3618385.2270792872</v>
      </c>
      <c r="O22" s="335">
        <f t="shared" si="100"/>
        <v>0.16578913204189205</v>
      </c>
      <c r="P22" s="321">
        <f t="shared" si="56"/>
        <v>-18963088.098550841</v>
      </c>
      <c r="Q22" s="332">
        <f t="shared" si="57"/>
        <v>-3540591.6158912033</v>
      </c>
      <c r="R22" s="336">
        <f t="shared" si="58"/>
        <v>-0.51817614391702627</v>
      </c>
      <c r="S22" s="12"/>
      <c r="T22" s="13"/>
      <c r="U22" s="12"/>
      <c r="V22" s="337">
        <v>11</v>
      </c>
      <c r="W22" s="809" t="s">
        <v>225</v>
      </c>
      <c r="X22" s="650">
        <f>X18-X7</f>
        <v>-3932437.3353500445</v>
      </c>
      <c r="Y22" s="650">
        <f>Y18-Y7</f>
        <v>-2453087.2322795205</v>
      </c>
      <c r="Z22" s="650">
        <f>Z18-Z7</f>
        <v>2844932.6817383273</v>
      </c>
      <c r="AA22" s="650">
        <f>AA18-AA7</f>
        <v>-3540591.8858912382</v>
      </c>
      <c r="AB22" s="230"/>
      <c r="AC22" s="12"/>
      <c r="AD22" s="13"/>
      <c r="AE22" s="12"/>
      <c r="AF22" s="12"/>
      <c r="AG22" s="12"/>
      <c r="AH22" s="12"/>
      <c r="AI22" s="12"/>
      <c r="AJ22" s="12"/>
      <c r="AK22" s="12"/>
      <c r="AL22" s="299"/>
      <c r="AM22" s="12"/>
      <c r="AN22" s="222">
        <v>18</v>
      </c>
      <c r="AO22" s="2"/>
      <c r="AP22" s="317" t="s">
        <v>226</v>
      </c>
      <c r="AQ22" s="5"/>
      <c r="AR22" s="240"/>
      <c r="AS22" s="338"/>
      <c r="AT22" s="234">
        <v>1025480397</v>
      </c>
      <c r="AU22" s="236"/>
      <c r="AV22" s="338"/>
      <c r="AW22" s="234">
        <v>1079178438.6666701</v>
      </c>
      <c r="AX22" s="236"/>
      <c r="AY22" s="235"/>
      <c r="AZ22" s="338"/>
      <c r="BA22" s="234">
        <v>1290136807.9999998</v>
      </c>
      <c r="BB22" s="236"/>
      <c r="BC22" s="235"/>
      <c r="BD22" s="338"/>
      <c r="BE22" s="234">
        <v>1470610844</v>
      </c>
      <c r="BF22" s="236"/>
      <c r="BG22" s="235"/>
      <c r="BH22" s="338"/>
      <c r="BI22" s="234">
        <v>1519641411.6666667</v>
      </c>
      <c r="BJ22" s="236"/>
      <c r="BK22" s="235"/>
      <c r="BL22" s="338"/>
      <c r="BM22" s="234">
        <v>1682130877</v>
      </c>
      <c r="BN22" s="236"/>
      <c r="BO22" s="235"/>
      <c r="BP22" s="338"/>
      <c r="BQ22" s="234">
        <v>1854790824</v>
      </c>
      <c r="BR22" s="236"/>
      <c r="BS22" s="235"/>
      <c r="BT22" s="1057">
        <v>1962055288</v>
      </c>
      <c r="BU22" s="1057"/>
      <c r="BV22" s="1057"/>
      <c r="BW22" s="339"/>
      <c r="BX22" s="12"/>
      <c r="BY22" s="12"/>
      <c r="BZ22" s="340"/>
      <c r="CA22" s="240"/>
      <c r="CB22" s="12"/>
      <c r="CC22" s="959">
        <v>2078388796</v>
      </c>
      <c r="CD22" s="824"/>
      <c r="CE22" s="723"/>
      <c r="CF22" s="853">
        <f>F24</f>
        <v>2080574152</v>
      </c>
      <c r="CG22" s="824"/>
      <c r="CH22" s="723"/>
      <c r="CI22" s="854">
        <f>CF22/AT22-1</f>
        <v>1.0288775466470472</v>
      </c>
      <c r="CJ22" s="723">
        <f>(CI22+1)^(1/(2022-2004))-1</f>
        <v>4.0087240631794696E-2</v>
      </c>
      <c r="CK22" s="12"/>
      <c r="CL22" s="13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3"/>
      <c r="CZ22" s="12"/>
      <c r="DA22" s="12"/>
      <c r="DB22" s="12"/>
      <c r="DC22" s="12"/>
      <c r="DD22" s="12"/>
      <c r="DE22" s="12"/>
      <c r="DF22" s="12"/>
      <c r="DG22" s="16"/>
      <c r="DH22" s="12"/>
      <c r="DI22" s="13"/>
      <c r="DJ22" s="12"/>
      <c r="DK22" s="12"/>
      <c r="DL22" s="12"/>
      <c r="DM22" s="12"/>
      <c r="DN22" s="16"/>
      <c r="DO22" s="12"/>
      <c r="DP22" s="12"/>
      <c r="DQ22" s="12"/>
      <c r="DR22" s="13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3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20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20"/>
      <c r="FI22" s="12"/>
      <c r="FJ22" s="192">
        <f>FJ21+1</f>
        <v>17</v>
      </c>
      <c r="FK22" s="310"/>
      <c r="FL22" s="879" t="s">
        <v>227</v>
      </c>
      <c r="FM22" s="880">
        <v>19302.772499999999</v>
      </c>
      <c r="FN22" s="880">
        <v>12055</v>
      </c>
      <c r="FO22" s="880">
        <v>17639.830000000002</v>
      </c>
      <c r="FP22" s="881">
        <f>FM22+FO22+FN22</f>
        <v>48997.602500000001</v>
      </c>
      <c r="FQ22" s="880">
        <v>0</v>
      </c>
      <c r="FR22" s="880">
        <v>0</v>
      </c>
      <c r="FS22" s="880">
        <v>0</v>
      </c>
      <c r="FT22" s="880">
        <v>0</v>
      </c>
      <c r="FU22" s="955">
        <v>0</v>
      </c>
      <c r="FV22" s="730"/>
      <c r="FW22" s="266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3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3"/>
      <c r="GX22" s="12"/>
      <c r="GY22" s="12"/>
      <c r="GZ22" s="192">
        <v>17</v>
      </c>
      <c r="HA22" s="886">
        <v>17</v>
      </c>
      <c r="HB22" s="886">
        <v>10</v>
      </c>
      <c r="HC22" s="886">
        <v>10</v>
      </c>
      <c r="HD22" s="887">
        <v>184309270</v>
      </c>
      <c r="HE22" s="887">
        <v>185961720</v>
      </c>
      <c r="HF22" s="800">
        <f t="shared" si="22"/>
        <v>1</v>
      </c>
      <c r="HG22" s="800">
        <f t="shared" si="23"/>
        <v>1.0089656369427322</v>
      </c>
      <c r="HH22" s="802">
        <v>0</v>
      </c>
      <c r="HI22" s="802">
        <v>0.2</v>
      </c>
      <c r="HJ22" s="802">
        <v>0.8</v>
      </c>
      <c r="HK22" s="12"/>
      <c r="HL22" s="13"/>
      <c r="HM22" s="12"/>
      <c r="HN22" s="267">
        <v>17</v>
      </c>
      <c r="HO22" s="892">
        <v>17</v>
      </c>
      <c r="HP22" s="799">
        <f t="shared" si="2"/>
        <v>1.0089656369427322</v>
      </c>
      <c r="HQ22" s="860">
        <v>14135.02</v>
      </c>
      <c r="HR22" s="801">
        <f t="shared" si="24"/>
        <v>14261.749457498259</v>
      </c>
      <c r="HS22" s="860">
        <v>20326618</v>
      </c>
      <c r="HT22" s="975">
        <v>20549740</v>
      </c>
      <c r="HU22" s="860">
        <v>9521341.6389999986</v>
      </c>
      <c r="HV22" s="975">
        <v>10477708</v>
      </c>
      <c r="HW22" s="860">
        <v>225000</v>
      </c>
      <c r="HX22" s="955">
        <v>225000</v>
      </c>
      <c r="HY22" s="860">
        <f t="shared" si="25"/>
        <v>9760476.6589999981</v>
      </c>
      <c r="HZ22" s="860">
        <f t="shared" si="25"/>
        <v>10716969.749457499</v>
      </c>
      <c r="IA22" s="206"/>
      <c r="IB22" s="207"/>
      <c r="IC22" s="206"/>
      <c r="ID22" s="208">
        <v>17</v>
      </c>
      <c r="IE22" s="892">
        <v>17</v>
      </c>
      <c r="IF22" s="896">
        <f t="shared" si="3"/>
        <v>1</v>
      </c>
      <c r="IG22" s="897">
        <f t="shared" si="3"/>
        <v>1.0089656369427322</v>
      </c>
      <c r="IH22" s="955">
        <v>3423698.7888018978</v>
      </c>
      <c r="II22" s="801">
        <f t="shared" si="64"/>
        <v>3454394.4291435676</v>
      </c>
      <c r="IJ22" s="955">
        <v>303676.66150000005</v>
      </c>
      <c r="IK22" s="801">
        <f t="shared" si="26"/>
        <v>306399.31619499001</v>
      </c>
      <c r="IL22" s="955">
        <v>1525701.0546981017</v>
      </c>
      <c r="IM22" s="801">
        <f t="shared" si="82"/>
        <v>1525701.0546981017</v>
      </c>
      <c r="IN22" s="955">
        <v>2001256.6207513765</v>
      </c>
      <c r="IO22" s="995">
        <v>2001256.6207513765</v>
      </c>
      <c r="IP22" s="955">
        <v>90945.126999999993</v>
      </c>
      <c r="IQ22" s="801">
        <f t="shared" si="27"/>
        <v>91760.507990392667</v>
      </c>
      <c r="IR22" s="955">
        <v>81740.587999999974</v>
      </c>
      <c r="IS22" s="801">
        <f t="shared" si="28"/>
        <v>82473.444435493424</v>
      </c>
      <c r="IT22" s="955">
        <v>532527.18400000012</v>
      </c>
      <c r="IU22" s="801">
        <f t="shared" si="29"/>
        <v>537301.62939387967</v>
      </c>
      <c r="IV22" s="955">
        <v>902633.89910000004</v>
      </c>
      <c r="IW22" s="801">
        <f t="shared" si="30"/>
        <v>910726.58693153341</v>
      </c>
      <c r="IX22" s="860">
        <f t="shared" si="31"/>
        <v>8862179.9238513745</v>
      </c>
      <c r="IY22" s="860">
        <f t="shared" si="31"/>
        <v>8910013.589539336</v>
      </c>
      <c r="IZ22" s="898">
        <f t="shared" si="4"/>
        <v>4.7913159705875685</v>
      </c>
      <c r="JA22" s="12"/>
      <c r="JB22" s="13"/>
      <c r="JC22" s="12"/>
      <c r="JD22" s="192">
        <v>17</v>
      </c>
      <c r="JE22" s="886">
        <v>17</v>
      </c>
      <c r="JF22" s="796">
        <f t="shared" si="5"/>
        <v>10</v>
      </c>
      <c r="JG22" s="804">
        <f t="shared" ref="JG22:JG25" si="111">JF22</f>
        <v>10</v>
      </c>
      <c r="JH22" s="859">
        <f t="shared" si="6"/>
        <v>185961720</v>
      </c>
      <c r="JI22" s="859">
        <f t="shared" si="83"/>
        <v>184982894.6402795</v>
      </c>
      <c r="JJ22" s="904">
        <f t="shared" si="33"/>
        <v>1</v>
      </c>
      <c r="JK22" s="904">
        <f t="shared" si="34"/>
        <v>0.99473641478622321</v>
      </c>
      <c r="JL22" s="904">
        <f t="shared" si="35"/>
        <v>1.0269563823513244</v>
      </c>
      <c r="JM22" s="886" t="s">
        <v>238</v>
      </c>
      <c r="JN22" s="209"/>
      <c r="JO22" s="210"/>
      <c r="JP22" s="209"/>
      <c r="JQ22" s="192">
        <v>17</v>
      </c>
      <c r="JR22" s="886">
        <v>17</v>
      </c>
      <c r="JS22" s="910" t="str">
        <f t="shared" si="7"/>
        <v>Q3</v>
      </c>
      <c r="JT22" s="911">
        <f t="shared" si="8"/>
        <v>1.0269563823513244</v>
      </c>
      <c r="JU22" s="860">
        <f t="shared" si="36"/>
        <v>14261.749457498259</v>
      </c>
      <c r="JV22" s="860">
        <f t="shared" si="37"/>
        <v>14646.194628873374</v>
      </c>
      <c r="JW22" s="860">
        <f t="shared" si="9"/>
        <v>20549740</v>
      </c>
      <c r="JX22" s="860">
        <f t="shared" si="38"/>
        <v>20410990.868633259</v>
      </c>
      <c r="JY22" s="860">
        <f t="shared" si="10"/>
        <v>10477708</v>
      </c>
      <c r="JZ22" s="860">
        <f t="shared" si="11"/>
        <v>9159781.5344396122</v>
      </c>
      <c r="KA22" s="860">
        <f t="shared" si="39"/>
        <v>225000</v>
      </c>
      <c r="KB22" s="860">
        <f t="shared" si="40"/>
        <v>402559.19736098708</v>
      </c>
      <c r="KC22" s="860">
        <f t="shared" si="41"/>
        <v>10716969.749457499</v>
      </c>
      <c r="KD22" s="860">
        <f t="shared" si="41"/>
        <v>9576986.9264294729</v>
      </c>
      <c r="KE22" s="211"/>
      <c r="KF22" s="210"/>
      <c r="KG22" s="209"/>
      <c r="KH22" s="243">
        <f t="shared" si="65"/>
        <v>17</v>
      </c>
      <c r="KI22" s="891">
        <v>16</v>
      </c>
      <c r="KJ22" s="920">
        <f t="shared" si="66"/>
        <v>1</v>
      </c>
      <c r="KK22" s="920">
        <f t="shared" si="66"/>
        <v>0.9947364147862231</v>
      </c>
      <c r="KL22" s="683">
        <v>1.6626666699999999</v>
      </c>
      <c r="KM22" s="794">
        <f t="shared" si="67"/>
        <v>2842440.912986618</v>
      </c>
      <c r="KN22" s="683">
        <v>1.6626666699999999</v>
      </c>
      <c r="KO22" s="794">
        <f t="shared" si="42"/>
        <v>62401.873959019889</v>
      </c>
      <c r="KP22" s="683">
        <v>1.6626666699999999</v>
      </c>
      <c r="KQ22" s="794">
        <f t="shared" si="43"/>
        <v>1537414.6578477176</v>
      </c>
      <c r="KR22" s="683">
        <v>1.6626666699999999</v>
      </c>
      <c r="KS22" s="794">
        <f t="shared" si="68"/>
        <v>1942792.1678812166</v>
      </c>
      <c r="KT22" s="683">
        <v>1.6626666699999999</v>
      </c>
      <c r="KU22" s="794">
        <f t="shared" si="44"/>
        <v>141089.91202526996</v>
      </c>
      <c r="KV22" s="683">
        <v>1.6626666699999999</v>
      </c>
      <c r="KW22" s="794">
        <f t="shared" si="45"/>
        <v>55075.16441568447</v>
      </c>
      <c r="KX22" s="683">
        <v>1.6626666699999999</v>
      </c>
      <c r="KY22" s="794">
        <f t="shared" si="46"/>
        <v>1094986.0020976146</v>
      </c>
      <c r="KZ22" s="683">
        <v>1.6626666699999999</v>
      </c>
      <c r="LA22" s="794">
        <f t="shared" si="47"/>
        <v>953705.02797138691</v>
      </c>
      <c r="LB22" s="650">
        <f t="shared" si="48"/>
        <v>8403107.5726111662</v>
      </c>
      <c r="LC22" s="650">
        <f t="shared" si="79"/>
        <v>8629905.7191845272</v>
      </c>
      <c r="LD22" s="16"/>
      <c r="LE22" s="220"/>
      <c r="LF22" s="12"/>
      <c r="LG22" s="192">
        <v>17</v>
      </c>
      <c r="LH22" s="921">
        <v>17</v>
      </c>
      <c r="LI22" s="860">
        <f t="shared" si="12"/>
        <v>9760476.6589999981</v>
      </c>
      <c r="LJ22" s="860">
        <f t="shared" si="12"/>
        <v>10716969.749457499</v>
      </c>
      <c r="LK22" s="801">
        <f t="shared" si="13"/>
        <v>9576986.9264294729</v>
      </c>
      <c r="LL22" s="860">
        <f t="shared" si="14"/>
        <v>8862179.9238513745</v>
      </c>
      <c r="LM22" s="860">
        <f t="shared" si="14"/>
        <v>8910013.589539336</v>
      </c>
      <c r="LN22" s="801">
        <f t="shared" si="49"/>
        <v>9150195.3226144537</v>
      </c>
      <c r="LO22" s="860">
        <f t="shared" si="50"/>
        <v>898296.73514862359</v>
      </c>
      <c r="LP22" s="860">
        <f t="shared" si="50"/>
        <v>1806956.159918163</v>
      </c>
      <c r="LQ22" s="860">
        <f t="shared" si="50"/>
        <v>426791.60381501913</v>
      </c>
      <c r="LR22" s="12"/>
      <c r="LS22" s="13"/>
      <c r="LT22" s="12"/>
      <c r="LU22" s="12"/>
      <c r="LV22" s="12"/>
      <c r="LW22" s="12"/>
      <c r="LX22" s="12"/>
      <c r="LY22" s="13"/>
      <c r="LZ22" s="12"/>
      <c r="MA22" s="222">
        <f t="shared" si="80"/>
        <v>16</v>
      </c>
      <c r="MB22" s="18"/>
      <c r="MC22" s="230"/>
      <c r="MD22" s="268"/>
      <c r="ME22" s="12"/>
      <c r="MF22" s="225"/>
      <c r="MG22" s="268"/>
      <c r="MH22" s="12"/>
      <c r="MI22" s="13"/>
      <c r="MJ22" s="12"/>
      <c r="MK22" s="222">
        <f t="shared" si="81"/>
        <v>16</v>
      </c>
      <c r="ML22" s="18"/>
      <c r="MM22" s="230"/>
      <c r="MN22" s="230"/>
      <c r="MO22" s="230"/>
      <c r="MP22" s="240"/>
      <c r="MQ22" s="12"/>
      <c r="MR22" s="13"/>
      <c r="MS22" s="12"/>
    </row>
    <row r="23" spans="1:357" ht="17.25" thickBot="1" x14ac:dyDescent="0.35">
      <c r="A23" s="5"/>
      <c r="B23" s="328" t="s">
        <v>228</v>
      </c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V23" s="342">
        <v>12</v>
      </c>
      <c r="W23" s="810" t="s">
        <v>229</v>
      </c>
      <c r="X23" s="811">
        <f>X19/X8-1</f>
        <v>-43.365847647523381</v>
      </c>
      <c r="Y23" s="811">
        <f>Y19/Y8-1</f>
        <v>-0.77031825155228051</v>
      </c>
      <c r="Z23" s="811">
        <f>Z19/Z8-1</f>
        <v>0.65941880938773179</v>
      </c>
      <c r="AA23" s="811">
        <f>AA19/AA8-1</f>
        <v>-0.51817616208896045</v>
      </c>
      <c r="AB23" s="229"/>
      <c r="AL23" s="299"/>
      <c r="AN23" s="302">
        <v>19</v>
      </c>
      <c r="AO23" s="343"/>
      <c r="AP23" s="344" t="s">
        <v>230</v>
      </c>
      <c r="AQ23" s="345"/>
      <c r="AR23" s="346"/>
      <c r="AS23" s="347"/>
      <c r="AT23" s="348">
        <v>158</v>
      </c>
      <c r="AU23" s="349"/>
      <c r="AV23" s="347"/>
      <c r="AW23" s="348">
        <v>165</v>
      </c>
      <c r="AX23" s="349"/>
      <c r="AY23" s="350"/>
      <c r="AZ23" s="347"/>
      <c r="BA23" s="348">
        <v>184</v>
      </c>
      <c r="BB23" s="349"/>
      <c r="BC23" s="350"/>
      <c r="BD23" s="347"/>
      <c r="BE23" s="348">
        <v>190</v>
      </c>
      <c r="BF23" s="349"/>
      <c r="BG23" s="350"/>
      <c r="BH23" s="347"/>
      <c r="BI23" s="348">
        <v>191</v>
      </c>
      <c r="BJ23" s="349"/>
      <c r="BK23" s="350"/>
      <c r="BL23" s="347"/>
      <c r="BM23" s="348">
        <v>195</v>
      </c>
      <c r="BN23" s="349"/>
      <c r="BO23" s="350"/>
      <c r="BP23" s="347"/>
      <c r="BQ23" s="348">
        <v>189</v>
      </c>
      <c r="BR23" s="349"/>
      <c r="BS23" s="350"/>
      <c r="BT23" s="1058">
        <v>179</v>
      </c>
      <c r="BU23" s="1058"/>
      <c r="BV23" s="1058"/>
      <c r="BW23" s="352"/>
      <c r="BX23" s="351"/>
      <c r="BY23" s="351"/>
      <c r="BZ23" s="353"/>
      <c r="CA23" s="354"/>
      <c r="CB23" s="29"/>
      <c r="CC23" s="960">
        <v>205</v>
      </c>
      <c r="CD23" s="856"/>
      <c r="CE23" s="857"/>
      <c r="CF23" s="855">
        <f>F25</f>
        <v>202</v>
      </c>
      <c r="CG23" s="856"/>
      <c r="CH23" s="857"/>
      <c r="CI23" s="858">
        <f>CF23/AT23-1</f>
        <v>0.27848101265822778</v>
      </c>
      <c r="CJ23" s="857">
        <f t="shared" si="96"/>
        <v>1.3742047067800689E-2</v>
      </c>
      <c r="DD23" s="12"/>
      <c r="DU23" s="12"/>
      <c r="DV23" s="12"/>
      <c r="DW23" s="12"/>
      <c r="DX23" s="12"/>
      <c r="DY23" s="12"/>
      <c r="ER23" s="356"/>
      <c r="FH23" s="356"/>
      <c r="FJ23" s="222">
        <f t="shared" si="78"/>
        <v>18</v>
      </c>
      <c r="FK23" s="242"/>
      <c r="FL23" s="877" t="s">
        <v>231</v>
      </c>
      <c r="FM23" s="650">
        <v>195427.44259999992</v>
      </c>
      <c r="FN23" s="650">
        <v>402633.97485000012</v>
      </c>
      <c r="FO23" s="650">
        <v>551207.68739999982</v>
      </c>
      <c r="FP23" s="794">
        <f>FM23+FO23+FN23</f>
        <v>1149269.1048499998</v>
      </c>
      <c r="FQ23" s="650">
        <v>196190.71665227265</v>
      </c>
      <c r="FR23" s="650">
        <v>402633.97485000012</v>
      </c>
      <c r="FS23" s="650">
        <v>557207.68739999982</v>
      </c>
      <c r="FT23" s="650">
        <v>1156032.3789022726</v>
      </c>
      <c r="FU23" s="955">
        <v>1156032.3789022726</v>
      </c>
      <c r="FV23" s="730"/>
      <c r="FW23" s="266"/>
      <c r="GZ23" s="222">
        <v>18</v>
      </c>
      <c r="HA23" s="663">
        <v>18</v>
      </c>
      <c r="HB23" s="999">
        <v>10</v>
      </c>
      <c r="HC23" s="999">
        <v>11</v>
      </c>
      <c r="HD23" s="682">
        <v>215577606</v>
      </c>
      <c r="HE23" s="682">
        <v>242653123</v>
      </c>
      <c r="HF23" s="724">
        <f t="shared" si="22"/>
        <v>1.1000000000000001</v>
      </c>
      <c r="HG23" s="724">
        <f t="shared" si="23"/>
        <v>1.1255952206835436</v>
      </c>
      <c r="HH23" s="723">
        <v>0</v>
      </c>
      <c r="HI23" s="1000">
        <v>0</v>
      </c>
      <c r="HJ23" s="1000">
        <v>1</v>
      </c>
      <c r="HN23" s="243">
        <v>18</v>
      </c>
      <c r="HO23" s="891">
        <v>18</v>
      </c>
      <c r="HP23" s="793">
        <f t="shared" si="2"/>
        <v>1.1255952206835436</v>
      </c>
      <c r="HQ23" s="650">
        <v>3765</v>
      </c>
      <c r="HR23" s="794">
        <f t="shared" si="24"/>
        <v>4237.8660058735413</v>
      </c>
      <c r="HS23" s="650">
        <v>24108935</v>
      </c>
      <c r="HT23" s="975">
        <v>27145426</v>
      </c>
      <c r="HU23" s="650">
        <v>10760066.173500001</v>
      </c>
      <c r="HV23" s="975">
        <v>14076047</v>
      </c>
      <c r="HW23" s="650">
        <v>225000</v>
      </c>
      <c r="HX23" s="955">
        <v>247500</v>
      </c>
      <c r="HY23" s="650">
        <f t="shared" si="25"/>
        <v>10988831.173500001</v>
      </c>
      <c r="HZ23" s="650">
        <f t="shared" si="25"/>
        <v>14327784.866005873</v>
      </c>
      <c r="IA23" s="206"/>
      <c r="IB23" s="207"/>
      <c r="IC23" s="206"/>
      <c r="ID23" s="244">
        <v>18</v>
      </c>
      <c r="IE23" s="891">
        <v>18</v>
      </c>
      <c r="IF23" s="899">
        <f t="shared" si="3"/>
        <v>1.1000000000000001</v>
      </c>
      <c r="IG23" s="900">
        <f t="shared" si="3"/>
        <v>1.1255952206835436</v>
      </c>
      <c r="IH23" s="955">
        <v>3459154.9380523348</v>
      </c>
      <c r="II23" s="794">
        <f t="shared" si="64"/>
        <v>3893608.2658755872</v>
      </c>
      <c r="IJ23" s="955">
        <v>152230.48199999999</v>
      </c>
      <c r="IK23" s="794">
        <f t="shared" si="26"/>
        <v>171349.90298155221</v>
      </c>
      <c r="IL23" s="955">
        <v>1327169.919947665</v>
      </c>
      <c r="IM23" s="794">
        <f t="shared" si="82"/>
        <v>1459886.9119424315</v>
      </c>
      <c r="IN23" s="955">
        <v>2225370.6313538007</v>
      </c>
      <c r="IO23" s="995">
        <v>2567096.6016763039</v>
      </c>
      <c r="IP23" s="955">
        <v>185070.00999999998</v>
      </c>
      <c r="IQ23" s="794">
        <f t="shared" si="27"/>
        <v>208313.91874785558</v>
      </c>
      <c r="IR23" s="955">
        <v>86296.820999999967</v>
      </c>
      <c r="IS23" s="794">
        <f t="shared" si="28"/>
        <v>97135.289277783217</v>
      </c>
      <c r="IT23" s="955">
        <v>536489.61</v>
      </c>
      <c r="IU23" s="794">
        <f t="shared" si="29"/>
        <v>603870.14096237824</v>
      </c>
      <c r="IV23" s="955">
        <v>1603178.8900000001</v>
      </c>
      <c r="IW23" s="794">
        <f t="shared" si="30"/>
        <v>1804530.4964847486</v>
      </c>
      <c r="IX23" s="650">
        <f t="shared" si="31"/>
        <v>9574961.3023538012</v>
      </c>
      <c r="IY23" s="650">
        <f t="shared" si="31"/>
        <v>10805791.52794864</v>
      </c>
      <c r="IZ23" s="683">
        <f t="shared" si="4"/>
        <v>4.453184609517117</v>
      </c>
      <c r="JD23" s="222">
        <v>18</v>
      </c>
      <c r="JE23" s="663">
        <v>18</v>
      </c>
      <c r="JF23" s="660">
        <f t="shared" si="5"/>
        <v>11</v>
      </c>
      <c r="JG23" s="729">
        <f t="shared" si="111"/>
        <v>11</v>
      </c>
      <c r="JH23" s="905">
        <f t="shared" si="6"/>
        <v>242653123</v>
      </c>
      <c r="JI23" s="905">
        <f t="shared" si="83"/>
        <v>241375897.60970044</v>
      </c>
      <c r="JJ23" s="906">
        <f t="shared" si="33"/>
        <v>1</v>
      </c>
      <c r="JK23" s="906">
        <f t="shared" si="34"/>
        <v>0.99473641478622321</v>
      </c>
      <c r="JL23" s="906">
        <f t="shared" si="35"/>
        <v>1.0405996829771527</v>
      </c>
      <c r="JM23" s="663" t="s">
        <v>425</v>
      </c>
      <c r="JN23" s="209"/>
      <c r="JO23" s="210"/>
      <c r="JP23" s="209"/>
      <c r="JQ23" s="222">
        <v>18</v>
      </c>
      <c r="JR23" s="663">
        <v>18</v>
      </c>
      <c r="JS23" s="914" t="str">
        <f t="shared" si="7"/>
        <v>Q2</v>
      </c>
      <c r="JT23" s="913">
        <f t="shared" si="8"/>
        <v>1.0405996829771527</v>
      </c>
      <c r="JU23" s="671">
        <f t="shared" si="36"/>
        <v>4237.8660058735413</v>
      </c>
      <c r="JV23" s="671">
        <f t="shared" si="37"/>
        <v>4409.9220222116592</v>
      </c>
      <c r="JW23" s="671">
        <f t="shared" si="9"/>
        <v>27145426</v>
      </c>
      <c r="JX23" s="671">
        <f t="shared" si="38"/>
        <v>26633388.193001993</v>
      </c>
      <c r="JY23" s="671">
        <f t="shared" si="10"/>
        <v>14076047</v>
      </c>
      <c r="JZ23" s="671">
        <f t="shared" si="11"/>
        <v>11952188.84472301</v>
      </c>
      <c r="KA23" s="671">
        <f t="shared" si="39"/>
        <v>247500</v>
      </c>
      <c r="KB23" s="671">
        <f t="shared" si="40"/>
        <v>525281.47423037852</v>
      </c>
      <c r="KC23" s="671">
        <f t="shared" si="41"/>
        <v>14327784.866005873</v>
      </c>
      <c r="KD23" s="671">
        <f t="shared" si="41"/>
        <v>12481880.240975602</v>
      </c>
      <c r="KE23" s="211"/>
      <c r="KF23" s="210"/>
      <c r="KG23" s="209"/>
      <c r="KH23" s="245">
        <f t="shared" si="65"/>
        <v>18</v>
      </c>
      <c r="KI23" s="917">
        <v>17</v>
      </c>
      <c r="KJ23" s="918">
        <f t="shared" si="66"/>
        <v>1</v>
      </c>
      <c r="KK23" s="918">
        <f t="shared" si="66"/>
        <v>0.99473641478622321</v>
      </c>
      <c r="KL23" s="898">
        <v>1.6626666699999999</v>
      </c>
      <c r="KM23" s="801">
        <f t="shared" si="67"/>
        <v>3540097.4133289936</v>
      </c>
      <c r="KN23" s="898">
        <v>1.6626666699999999</v>
      </c>
      <c r="KO23" s="801">
        <f t="shared" si="42"/>
        <v>314001.03519058111</v>
      </c>
      <c r="KP23" s="898">
        <v>1.6626666699999999</v>
      </c>
      <c r="KQ23" s="801">
        <f t="shared" si="43"/>
        <v>1571826.9035040811</v>
      </c>
      <c r="KR23" s="898">
        <v>1.6626666699999999</v>
      </c>
      <c r="KS23" s="801">
        <f t="shared" si="68"/>
        <v>2061759.7317812166</v>
      </c>
      <c r="KT23" s="898">
        <v>1.6626666699999999</v>
      </c>
      <c r="KU23" s="801">
        <f t="shared" si="44"/>
        <v>94037.071806846317</v>
      </c>
      <c r="KV23" s="898">
        <v>1.6626666699999999</v>
      </c>
      <c r="KW23" s="801">
        <f t="shared" si="45"/>
        <v>84519.597661234104</v>
      </c>
      <c r="KX23" s="898">
        <v>1.6626666699999999</v>
      </c>
      <c r="KY23" s="801">
        <f t="shared" si="46"/>
        <v>550631.99857762235</v>
      </c>
      <c r="KZ23" s="898">
        <v>1.6626666699999999</v>
      </c>
      <c r="LA23" s="919">
        <f t="shared" si="47"/>
        <v>933321.57076387818</v>
      </c>
      <c r="LB23" s="646">
        <f t="shared" si="48"/>
        <v>8910013.589539336</v>
      </c>
      <c r="LC23" s="646">
        <f t="shared" si="79"/>
        <v>9150195.3226144537</v>
      </c>
      <c r="LD23" s="16"/>
      <c r="LE23" s="220"/>
      <c r="LG23" s="222">
        <v>18</v>
      </c>
      <c r="LH23" s="922">
        <v>18</v>
      </c>
      <c r="LI23" s="650">
        <f t="shared" si="12"/>
        <v>10988831.173500001</v>
      </c>
      <c r="LJ23" s="650">
        <f t="shared" si="12"/>
        <v>14327784.866005873</v>
      </c>
      <c r="LK23" s="794">
        <f t="shared" si="13"/>
        <v>12481880.240975602</v>
      </c>
      <c r="LL23" s="650">
        <f t="shared" si="14"/>
        <v>9574961.3023538012</v>
      </c>
      <c r="LM23" s="650">
        <f t="shared" si="14"/>
        <v>10805791.52794864</v>
      </c>
      <c r="LN23" s="794">
        <f t="shared" si="49"/>
        <v>11244503.238300558</v>
      </c>
      <c r="LO23" s="650">
        <f t="shared" si="50"/>
        <v>1413869.8711462002</v>
      </c>
      <c r="LP23" s="650">
        <f t="shared" si="50"/>
        <v>3521993.338057233</v>
      </c>
      <c r="LQ23" s="650">
        <f t="shared" si="50"/>
        <v>1237377.0026750434</v>
      </c>
      <c r="MA23" s="192">
        <f>MA22+1</f>
        <v>17</v>
      </c>
      <c r="MB23" s="194" t="s">
        <v>232</v>
      </c>
      <c r="MC23" s="320">
        <f>'Actuals Phase I Schedules'!LW13</f>
        <v>19960070.068912446</v>
      </c>
      <c r="MD23" s="331">
        <f>MC23/$MC$34*100</f>
        <v>0.91454128970437332</v>
      </c>
      <c r="ME23" s="194"/>
      <c r="MF23" s="357">
        <f>(MF8+MF21)/(1-'Actuals Phase I Schedules'!LW11)-(MF8+MF21)</f>
        <v>19960070.068912446</v>
      </c>
      <c r="MG23" s="331">
        <f>MF23/$MG$34*100</f>
        <v>0.91454128970437332</v>
      </c>
      <c r="MK23" s="192">
        <f>MK22+1</f>
        <v>17</v>
      </c>
      <c r="ML23" s="194" t="str">
        <f>MB23</f>
        <v>Total Return</v>
      </c>
      <c r="MM23" s="981">
        <v>18998322.143907189</v>
      </c>
      <c r="MN23" s="320">
        <f>MC23</f>
        <v>19960070.068912446</v>
      </c>
      <c r="MO23" s="320">
        <f t="shared" si="70"/>
        <v>961747.92500525713</v>
      </c>
      <c r="MP23" s="802">
        <f>MO23/MM23</f>
        <v>5.0622782249941593E-2</v>
      </c>
    </row>
    <row r="24" spans="1:357" s="29" customFormat="1" ht="16.5" x14ac:dyDescent="0.3">
      <c r="A24" s="7"/>
      <c r="B24" s="358">
        <f>B22+1</f>
        <v>18</v>
      </c>
      <c r="C24" s="359" t="s">
        <v>226</v>
      </c>
      <c r="D24" s="359"/>
      <c r="E24" s="360"/>
      <c r="F24" s="1059">
        <f>GQ6</f>
        <v>2080574152</v>
      </c>
      <c r="G24" s="1060"/>
      <c r="H24" s="1059">
        <f>GU6</f>
        <v>2091530523.2727273</v>
      </c>
      <c r="I24" s="1061"/>
      <c r="J24" s="1060"/>
      <c r="K24" s="1059">
        <f>HE26</f>
        <v>2194071252</v>
      </c>
      <c r="L24" s="1061"/>
      <c r="M24" s="1060"/>
      <c r="N24" s="1059">
        <f>JI26</f>
        <v>2182522571</v>
      </c>
      <c r="O24" s="1061"/>
      <c r="P24" s="1060"/>
      <c r="Q24" s="361">
        <f t="shared" ref="Q24" si="112">N24-F24</f>
        <v>101948419</v>
      </c>
      <c r="R24" s="362">
        <f>N24/F24-1</f>
        <v>4.900013724673058E-2</v>
      </c>
      <c r="S24" s="12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3"/>
      <c r="AE24" s="12"/>
      <c r="AF24" s="12"/>
      <c r="AG24" s="12"/>
      <c r="AH24" s="12"/>
      <c r="AI24" s="12"/>
      <c r="AJ24" s="12"/>
      <c r="AK24" s="12"/>
      <c r="AL24" s="29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3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3"/>
      <c r="CZ24" s="12"/>
      <c r="DA24" s="12"/>
      <c r="DB24" s="12"/>
      <c r="DC24" s="12"/>
      <c r="DD24" s="16"/>
      <c r="DE24" s="12"/>
      <c r="DF24" s="12"/>
      <c r="DG24" s="12"/>
      <c r="DH24" s="12"/>
      <c r="DI24" s="13"/>
      <c r="DJ24" s="12"/>
      <c r="DK24" s="12"/>
      <c r="DL24" s="12"/>
      <c r="DM24" s="12"/>
      <c r="DN24" s="16"/>
      <c r="DO24" s="12"/>
      <c r="DP24" s="12"/>
      <c r="DQ24" s="12"/>
      <c r="DR24" s="13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3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3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3"/>
      <c r="FI24" s="12"/>
      <c r="FJ24" s="363">
        <f t="shared" si="78"/>
        <v>19</v>
      </c>
      <c r="FK24" s="364"/>
      <c r="FL24" s="365" t="s">
        <v>221</v>
      </c>
      <c r="FM24" s="366">
        <f>SUM(FM22:FM23)</f>
        <v>214730.21509999991</v>
      </c>
      <c r="FN24" s="366">
        <f>SUM(FN22:FN23)</f>
        <v>414688.97485000012</v>
      </c>
      <c r="FO24" s="366">
        <f>SUM(FO22:FO23)</f>
        <v>568847.51739999978</v>
      </c>
      <c r="FP24" s="367">
        <f>FM24+FO24+FN24</f>
        <v>1198266.7073499998</v>
      </c>
      <c r="FQ24" s="366">
        <v>196190.71665227265</v>
      </c>
      <c r="FR24" s="366">
        <v>402633.97485000012</v>
      </c>
      <c r="FS24" s="366">
        <v>557207.68739999982</v>
      </c>
      <c r="FT24" s="366">
        <v>1156032.3789022726</v>
      </c>
      <c r="FU24" s="971">
        <v>1156032.3789022726</v>
      </c>
      <c r="FV24" s="16"/>
      <c r="FW24" s="266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3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3"/>
      <c r="GX24" s="12"/>
      <c r="GY24" s="12"/>
      <c r="GZ24" s="192">
        <v>19</v>
      </c>
      <c r="HA24" s="886">
        <v>19</v>
      </c>
      <c r="HB24" s="886">
        <v>11</v>
      </c>
      <c r="HC24" s="886">
        <v>11</v>
      </c>
      <c r="HD24" s="887">
        <v>281168952.5</v>
      </c>
      <c r="HE24" s="887">
        <v>288278105</v>
      </c>
      <c r="HF24" s="800">
        <f t="shared" si="22"/>
        <v>1</v>
      </c>
      <c r="HG24" s="800">
        <f t="shared" si="23"/>
        <v>1.025284272807468</v>
      </c>
      <c r="HH24" s="802">
        <v>0</v>
      </c>
      <c r="HI24" s="1000">
        <v>9.0909090909090912E-2</v>
      </c>
      <c r="HJ24" s="1000">
        <v>0.90909090909090906</v>
      </c>
      <c r="HK24" s="12"/>
      <c r="HL24" s="13"/>
      <c r="HM24" s="12"/>
      <c r="HN24" s="267">
        <v>19</v>
      </c>
      <c r="HO24" s="892">
        <v>19</v>
      </c>
      <c r="HP24" s="799">
        <f t="shared" si="2"/>
        <v>1.025284272807468</v>
      </c>
      <c r="HQ24" s="860">
        <v>1328.64</v>
      </c>
      <c r="HR24" s="801">
        <f t="shared" si="24"/>
        <v>1362.2336962229144</v>
      </c>
      <c r="HS24" s="860">
        <v>32365939</v>
      </c>
      <c r="HT24" s="975">
        <v>32214175</v>
      </c>
      <c r="HU24" s="860">
        <v>14825604.0823</v>
      </c>
      <c r="HV24" s="975">
        <v>16732387</v>
      </c>
      <c r="HW24" s="860">
        <v>247500</v>
      </c>
      <c r="HX24" s="955">
        <v>247500</v>
      </c>
      <c r="HY24" s="860">
        <f t="shared" si="25"/>
        <v>15074432.7223</v>
      </c>
      <c r="HZ24" s="860">
        <f t="shared" si="25"/>
        <v>16981249.233696222</v>
      </c>
      <c r="IA24" s="206"/>
      <c r="IB24" s="207"/>
      <c r="IC24" s="206"/>
      <c r="ID24" s="208">
        <v>19</v>
      </c>
      <c r="IE24" s="892">
        <v>19</v>
      </c>
      <c r="IF24" s="896">
        <f t="shared" si="3"/>
        <v>1</v>
      </c>
      <c r="IG24" s="897">
        <f t="shared" si="3"/>
        <v>1.025284272807468</v>
      </c>
      <c r="IH24" s="955">
        <v>4832384.6993265636</v>
      </c>
      <c r="II24" s="801">
        <f t="shared" si="64"/>
        <v>4954568.0323749706</v>
      </c>
      <c r="IJ24" s="955">
        <v>73302.798999999999</v>
      </c>
      <c r="IK24" s="801">
        <f t="shared" si="26"/>
        <v>75156.206967466991</v>
      </c>
      <c r="IL24" s="955">
        <v>1795439.9916734365</v>
      </c>
      <c r="IM24" s="801">
        <f t="shared" si="82"/>
        <v>1795439.9916734365</v>
      </c>
      <c r="IN24" s="955">
        <v>2524707.7237054296</v>
      </c>
      <c r="IO24" s="995">
        <v>2594062.5496446453</v>
      </c>
      <c r="IP24" s="955">
        <v>136160.67300000007</v>
      </c>
      <c r="IQ24" s="801">
        <f t="shared" si="27"/>
        <v>139603.39660178052</v>
      </c>
      <c r="IR24" s="955">
        <v>123511.94300000001</v>
      </c>
      <c r="IS24" s="801">
        <f t="shared" si="28"/>
        <v>126634.85266179245</v>
      </c>
      <c r="IT24" s="955">
        <v>1057746.7799999998</v>
      </c>
      <c r="IU24" s="801">
        <f t="shared" si="29"/>
        <v>1084491.1381467406</v>
      </c>
      <c r="IV24" s="955">
        <v>1391412.84</v>
      </c>
      <c r="IW24" s="801">
        <f t="shared" si="30"/>
        <v>1426593.7018343739</v>
      </c>
      <c r="IX24" s="860">
        <f t="shared" si="31"/>
        <v>11934667.449705429</v>
      </c>
      <c r="IY24" s="860">
        <f t="shared" si="31"/>
        <v>12196549.869905207</v>
      </c>
      <c r="IZ24" s="898">
        <f t="shared" si="4"/>
        <v>4.2308276828395304</v>
      </c>
      <c r="JA24" s="12"/>
      <c r="JB24" s="13"/>
      <c r="JC24" s="12"/>
      <c r="JD24" s="192">
        <v>19</v>
      </c>
      <c r="JE24" s="886">
        <v>19</v>
      </c>
      <c r="JF24" s="796">
        <f t="shared" si="5"/>
        <v>11</v>
      </c>
      <c r="JG24" s="804">
        <f t="shared" si="111"/>
        <v>11</v>
      </c>
      <c r="JH24" s="859">
        <f t="shared" si="6"/>
        <v>288278105</v>
      </c>
      <c r="JI24" s="859">
        <f t="shared" si="83"/>
        <v>286760728.62906641</v>
      </c>
      <c r="JJ24" s="904">
        <f t="shared" si="33"/>
        <v>1</v>
      </c>
      <c r="JK24" s="904">
        <f t="shared" si="34"/>
        <v>0.99473641478622321</v>
      </c>
      <c r="JL24" s="904">
        <f t="shared" si="35"/>
        <v>1.0267614631173598</v>
      </c>
      <c r="JM24" s="886" t="s">
        <v>238</v>
      </c>
      <c r="JN24" s="209"/>
      <c r="JO24" s="210"/>
      <c r="JP24" s="209"/>
      <c r="JQ24" s="192">
        <v>19</v>
      </c>
      <c r="JR24" s="886">
        <v>19</v>
      </c>
      <c r="JS24" s="910" t="str">
        <f t="shared" si="7"/>
        <v>Q3</v>
      </c>
      <c r="JT24" s="911">
        <f t="shared" si="8"/>
        <v>1.0267614631173598</v>
      </c>
      <c r="JU24" s="860">
        <f t="shared" si="36"/>
        <v>1362.2336962229144</v>
      </c>
      <c r="JV24" s="860">
        <f t="shared" si="37"/>
        <v>1398.6890630416087</v>
      </c>
      <c r="JW24" s="860">
        <f t="shared" si="9"/>
        <v>32214175</v>
      </c>
      <c r="JX24" s="860">
        <f t="shared" si="38"/>
        <v>31641145.117295641</v>
      </c>
      <c r="JY24" s="860">
        <f t="shared" si="10"/>
        <v>16732387</v>
      </c>
      <c r="JZ24" s="860">
        <f t="shared" si="11"/>
        <v>14199505.484043939</v>
      </c>
      <c r="KA24" s="860">
        <f t="shared" si="39"/>
        <v>247500</v>
      </c>
      <c r="KB24" s="860">
        <f t="shared" si="40"/>
        <v>624047.80169567338</v>
      </c>
      <c r="KC24" s="860">
        <f t="shared" si="41"/>
        <v>16981249.233696222</v>
      </c>
      <c r="KD24" s="860">
        <f t="shared" si="41"/>
        <v>14824951.974802654</v>
      </c>
      <c r="KE24" s="211"/>
      <c r="KF24" s="210"/>
      <c r="KG24" s="209"/>
      <c r="KH24" s="243">
        <f t="shared" si="65"/>
        <v>19</v>
      </c>
      <c r="KI24" s="891">
        <v>18</v>
      </c>
      <c r="KJ24" s="920">
        <f t="shared" si="66"/>
        <v>1</v>
      </c>
      <c r="KK24" s="920">
        <f t="shared" si="66"/>
        <v>0.99473641478622321</v>
      </c>
      <c r="KL24" s="683">
        <v>1.6406666700000001</v>
      </c>
      <c r="KM24" s="794">
        <f t="shared" si="67"/>
        <v>4043713.507717445</v>
      </c>
      <c r="KN24" s="683">
        <v>1.6406666700000001</v>
      </c>
      <c r="KO24" s="794">
        <f t="shared" si="42"/>
        <v>177955.73409508381</v>
      </c>
      <c r="KP24" s="683">
        <v>1.6406666700000001</v>
      </c>
      <c r="KQ24" s="794">
        <f t="shared" si="43"/>
        <v>1524190.7511266959</v>
      </c>
      <c r="KR24" s="683">
        <v>1.6406666700000001</v>
      </c>
      <c r="KS24" s="794">
        <f t="shared" si="68"/>
        <v>2680169.8580321865</v>
      </c>
      <c r="KT24" s="683">
        <v>1.6406666700000001</v>
      </c>
      <c r="KU24" s="794">
        <f t="shared" si="44"/>
        <v>216344.77573640275</v>
      </c>
      <c r="KV24" s="683">
        <v>1.6406666700000001</v>
      </c>
      <c r="KW24" s="794">
        <f t="shared" si="45"/>
        <v>100880.02040962492</v>
      </c>
      <c r="KX24" s="683">
        <v>1.6406666700000001</v>
      </c>
      <c r="KY24" s="794">
        <f t="shared" si="46"/>
        <v>627150.3652069841</v>
      </c>
      <c r="KZ24" s="683">
        <v>1.6406666700000001</v>
      </c>
      <c r="LA24" s="794">
        <f t="shared" si="47"/>
        <v>1874098.225976133</v>
      </c>
      <c r="LB24" s="650">
        <f t="shared" si="48"/>
        <v>10805791.52794864</v>
      </c>
      <c r="LC24" s="650">
        <f t="shared" si="79"/>
        <v>11244503.238300558</v>
      </c>
      <c r="LD24" s="16"/>
      <c r="LE24" s="220"/>
      <c r="LF24" s="12"/>
      <c r="LG24" s="192">
        <v>19</v>
      </c>
      <c r="LH24" s="921">
        <v>19</v>
      </c>
      <c r="LI24" s="860">
        <f t="shared" si="12"/>
        <v>15074432.7223</v>
      </c>
      <c r="LJ24" s="860">
        <f t="shared" si="12"/>
        <v>16981249.233696222</v>
      </c>
      <c r="LK24" s="801">
        <f t="shared" si="13"/>
        <v>14824951.974802654</v>
      </c>
      <c r="LL24" s="860">
        <f t="shared" si="14"/>
        <v>11934667.449705429</v>
      </c>
      <c r="LM24" s="860">
        <f t="shared" si="14"/>
        <v>12196549.869905207</v>
      </c>
      <c r="LN24" s="801">
        <f t="shared" si="49"/>
        <v>12522947.389407715</v>
      </c>
      <c r="LO24" s="860">
        <f t="shared" si="50"/>
        <v>3139765.2725945711</v>
      </c>
      <c r="LP24" s="860">
        <f t="shared" si="50"/>
        <v>4784699.363791015</v>
      </c>
      <c r="LQ24" s="860">
        <f t="shared" si="50"/>
        <v>2302004.5853949394</v>
      </c>
      <c r="LR24" s="12"/>
      <c r="LS24" s="13"/>
      <c r="LT24" s="12"/>
      <c r="LU24" s="12"/>
      <c r="LV24" s="12"/>
      <c r="LW24" s="12"/>
      <c r="LX24" s="12"/>
      <c r="LY24" s="13"/>
      <c r="LZ24" s="12"/>
      <c r="MA24" s="293">
        <f t="shared" si="80"/>
        <v>18</v>
      </c>
      <c r="MB24" s="816" t="s">
        <v>233</v>
      </c>
      <c r="MC24" s="932">
        <f>1-(MC8+MC21)/(MC8+MC21+MC23)</f>
        <v>5.390000000000017E-2</v>
      </c>
      <c r="MD24" s="930"/>
      <c r="ME24" s="839"/>
      <c r="MF24" s="933">
        <f>1-(MF8+MF21)/(MF8+MF21+MF23)</f>
        <v>5.390000000000017E-2</v>
      </c>
      <c r="MG24" s="930"/>
      <c r="MH24" s="12"/>
      <c r="MI24" s="13"/>
      <c r="MJ24" s="12"/>
      <c r="MK24" s="293">
        <f t="shared" si="81"/>
        <v>18</v>
      </c>
      <c r="ML24" s="941" t="str">
        <f>MB24</f>
        <v>Pre-Tax Return</v>
      </c>
      <c r="MM24" s="982">
        <v>5.3900000000000059E-2</v>
      </c>
      <c r="MN24" s="942">
        <f>MC24</f>
        <v>5.390000000000017E-2</v>
      </c>
      <c r="MO24" s="942">
        <f t="shared" si="70"/>
        <v>1.1102230246251565E-16</v>
      </c>
      <c r="MP24" s="943">
        <f t="shared" si="71"/>
        <v>2.0597829770411046E-15</v>
      </c>
      <c r="MQ24" s="12"/>
      <c r="MR24" s="13"/>
      <c r="MS24" s="12"/>
    </row>
    <row r="25" spans="1:357" ht="17.25" thickBot="1" x14ac:dyDescent="0.35">
      <c r="A25" s="5"/>
      <c r="B25" s="368">
        <f>B24+1</f>
        <v>19</v>
      </c>
      <c r="C25" s="369" t="s">
        <v>234</v>
      </c>
      <c r="D25" s="369"/>
      <c r="E25" s="370"/>
      <c r="F25" s="1051">
        <f>HB26</f>
        <v>202</v>
      </c>
      <c r="G25" s="1052"/>
      <c r="H25" s="1051">
        <f>HB26</f>
        <v>202</v>
      </c>
      <c r="I25" s="1053"/>
      <c r="J25" s="1052"/>
      <c r="K25" s="1051">
        <f>JF26</f>
        <v>221</v>
      </c>
      <c r="L25" s="1053"/>
      <c r="M25" s="1052"/>
      <c r="N25" s="1051">
        <f>JG26</f>
        <v>219</v>
      </c>
      <c r="O25" s="1053"/>
      <c r="P25" s="1052"/>
      <c r="Q25" s="371">
        <f>N25-F25</f>
        <v>17</v>
      </c>
      <c r="R25" s="372">
        <f>N25/F25-1</f>
        <v>8.4158415841584233E-2</v>
      </c>
      <c r="AL25" s="299"/>
      <c r="DU25" s="12"/>
      <c r="DV25" s="12"/>
      <c r="DW25" s="12"/>
      <c r="DX25" s="12"/>
      <c r="DY25" s="12"/>
      <c r="FJ25" s="222">
        <f t="shared" si="78"/>
        <v>20</v>
      </c>
      <c r="FK25" s="307" t="s">
        <v>235</v>
      </c>
      <c r="FL25" s="308"/>
      <c r="FM25" s="329"/>
      <c r="FN25" s="329"/>
      <c r="FO25" s="329"/>
      <c r="FP25" s="330"/>
      <c r="FQ25" s="329"/>
      <c r="FR25" s="329"/>
      <c r="FS25" s="329"/>
      <c r="FT25" s="329"/>
      <c r="FU25" s="329"/>
      <c r="FV25" s="16"/>
      <c r="FW25" s="266"/>
      <c r="GZ25" s="297">
        <v>20</v>
      </c>
      <c r="HA25" s="668">
        <v>20</v>
      </c>
      <c r="HB25" s="668">
        <v>10</v>
      </c>
      <c r="HC25" s="668">
        <v>10</v>
      </c>
      <c r="HD25" s="889">
        <v>345437324</v>
      </c>
      <c r="HE25" s="889">
        <v>354093613</v>
      </c>
      <c r="HF25" s="728">
        <f t="shared" si="22"/>
        <v>1</v>
      </c>
      <c r="HG25" s="728">
        <f t="shared" si="23"/>
        <v>1.0250589279113336</v>
      </c>
      <c r="HH25" s="726">
        <v>0</v>
      </c>
      <c r="HI25" s="726">
        <v>0</v>
      </c>
      <c r="HJ25" s="726">
        <v>1</v>
      </c>
      <c r="HN25" s="373">
        <v>20</v>
      </c>
      <c r="HO25" s="893">
        <v>20</v>
      </c>
      <c r="HP25" s="894">
        <f t="shared" si="2"/>
        <v>1.0250589279113336</v>
      </c>
      <c r="HQ25" s="727">
        <v>74981.02</v>
      </c>
      <c r="HR25" s="895">
        <f t="shared" si="24"/>
        <v>76859.963974898259</v>
      </c>
      <c r="HS25" s="727">
        <v>38245984</v>
      </c>
      <c r="HT25" s="976">
        <v>39214260</v>
      </c>
      <c r="HU25" s="727">
        <v>16742232.458199998</v>
      </c>
      <c r="HV25" s="976">
        <v>20224278</v>
      </c>
      <c r="HW25" s="727">
        <v>225000</v>
      </c>
      <c r="HX25" s="968">
        <v>225000</v>
      </c>
      <c r="HY25" s="727">
        <f t="shared" si="25"/>
        <v>17042213.4782</v>
      </c>
      <c r="HZ25" s="727">
        <f t="shared" si="25"/>
        <v>20526137.963974897</v>
      </c>
      <c r="IA25" s="206"/>
      <c r="IB25" s="207"/>
      <c r="IC25" s="206"/>
      <c r="ID25" s="374">
        <v>20</v>
      </c>
      <c r="IE25" s="893">
        <v>20</v>
      </c>
      <c r="IF25" s="901">
        <f t="shared" si="3"/>
        <v>1</v>
      </c>
      <c r="IG25" s="902">
        <f t="shared" si="3"/>
        <v>1.0250589279113336</v>
      </c>
      <c r="IH25" s="968">
        <v>5724380.0135961343</v>
      </c>
      <c r="II25" s="895">
        <f t="shared" si="64"/>
        <v>5867826.8396939188</v>
      </c>
      <c r="IJ25" s="968">
        <v>219612.97514999998</v>
      </c>
      <c r="IK25" s="895">
        <f t="shared" si="26"/>
        <v>225116.24086267731</v>
      </c>
      <c r="IL25" s="968">
        <v>2632646.793253866</v>
      </c>
      <c r="IM25" s="895">
        <f t="shared" si="82"/>
        <v>2632646.793253866</v>
      </c>
      <c r="IN25" s="968">
        <v>2694508.4728766764</v>
      </c>
      <c r="IO25" s="996">
        <v>2694508.4728766764</v>
      </c>
      <c r="IP25" s="968">
        <v>401825.30300000007</v>
      </c>
      <c r="IQ25" s="895">
        <f>IP25*$HG25</f>
        <v>411894.61430082686</v>
      </c>
      <c r="IR25" s="968">
        <v>156788.33400000003</v>
      </c>
      <c r="IS25" s="895">
        <f t="shared" si="28"/>
        <v>160717.28155904412</v>
      </c>
      <c r="IT25" s="968">
        <v>1244707.0171640001</v>
      </c>
      <c r="IU25" s="895">
        <f t="shared" si="29"/>
        <v>1275898.0405778438</v>
      </c>
      <c r="IV25" s="968">
        <v>1610495.5785100001</v>
      </c>
      <c r="IW25" s="895">
        <f t="shared" si="30"/>
        <v>1650852.8711134037</v>
      </c>
      <c r="IX25" s="727">
        <f t="shared" si="31"/>
        <v>14684964.487550676</v>
      </c>
      <c r="IY25" s="727">
        <f t="shared" si="31"/>
        <v>14919461.154238256</v>
      </c>
      <c r="IZ25" s="903">
        <f t="shared" si="4"/>
        <v>4.2134228369259672</v>
      </c>
      <c r="JD25" s="297">
        <v>20</v>
      </c>
      <c r="JE25" s="668">
        <v>20</v>
      </c>
      <c r="JF25" s="665">
        <f t="shared" si="5"/>
        <v>10</v>
      </c>
      <c r="JG25" s="907">
        <f t="shared" si="111"/>
        <v>10</v>
      </c>
      <c r="JH25" s="908">
        <f t="shared" si="6"/>
        <v>354093613</v>
      </c>
      <c r="JI25" s="908">
        <f t="shared" si="83"/>
        <v>352229811.09432042</v>
      </c>
      <c r="JJ25" s="909">
        <f t="shared" si="33"/>
        <v>1</v>
      </c>
      <c r="JK25" s="909">
        <f t="shared" si="34"/>
        <v>0.99473641478622321</v>
      </c>
      <c r="JL25" s="909">
        <f t="shared" si="35"/>
        <v>1.0267460830304449</v>
      </c>
      <c r="JM25" s="668" t="s">
        <v>238</v>
      </c>
      <c r="JN25" s="209"/>
      <c r="JO25" s="210"/>
      <c r="JP25" s="209"/>
      <c r="JQ25" s="297">
        <v>20</v>
      </c>
      <c r="JR25" s="668">
        <v>20</v>
      </c>
      <c r="JS25" s="915" t="str">
        <f t="shared" si="7"/>
        <v>Q3</v>
      </c>
      <c r="JT25" s="916">
        <f t="shared" si="8"/>
        <v>1.0267460830304449</v>
      </c>
      <c r="JU25" s="673">
        <f t="shared" si="36"/>
        <v>76859.963974898259</v>
      </c>
      <c r="JV25" s="673">
        <f t="shared" si="37"/>
        <v>78915.666953087886</v>
      </c>
      <c r="JW25" s="673">
        <f t="shared" si="9"/>
        <v>39214260</v>
      </c>
      <c r="JX25" s="673">
        <f t="shared" si="38"/>
        <v>38864995.9872621</v>
      </c>
      <c r="JY25" s="673">
        <f t="shared" si="10"/>
        <v>20224278</v>
      </c>
      <c r="JZ25" s="673">
        <f t="shared" si="11"/>
        <v>17441332.215148397</v>
      </c>
      <c r="KA25" s="673">
        <f t="shared" si="39"/>
        <v>225000</v>
      </c>
      <c r="KB25" s="673">
        <f t="shared" si="40"/>
        <v>766521.41440685734</v>
      </c>
      <c r="KC25" s="673">
        <f t="shared" si="41"/>
        <v>20526137.963974897</v>
      </c>
      <c r="KD25" s="673">
        <f t="shared" si="41"/>
        <v>18286769.296508342</v>
      </c>
      <c r="KE25" s="211"/>
      <c r="KF25" s="210"/>
      <c r="KG25" s="209"/>
      <c r="KH25" s="245">
        <f t="shared" si="65"/>
        <v>20</v>
      </c>
      <c r="KI25" s="917">
        <v>19</v>
      </c>
      <c r="KJ25" s="918">
        <f t="shared" si="66"/>
        <v>1</v>
      </c>
      <c r="KK25" s="918">
        <f t="shared" si="66"/>
        <v>0.99473641478622321</v>
      </c>
      <c r="KL25" s="898">
        <v>1.6626666699999999</v>
      </c>
      <c r="KM25" s="801">
        <f t="shared" si="67"/>
        <v>5077490.088449941</v>
      </c>
      <c r="KN25" s="898">
        <v>1.6626666699999999</v>
      </c>
      <c r="KO25" s="801">
        <f t="shared" si="42"/>
        <v>77020.820678868316</v>
      </c>
      <c r="KP25" s="898">
        <v>1.6626666699999999</v>
      </c>
      <c r="KQ25" s="801">
        <f t="shared" si="43"/>
        <v>1849720.7390984457</v>
      </c>
      <c r="KR25" s="898">
        <v>1.6626666699999999</v>
      </c>
      <c r="KS25" s="801">
        <f t="shared" si="68"/>
        <v>2672487.7015377465</v>
      </c>
      <c r="KT25" s="898">
        <v>1.6626666699999999</v>
      </c>
      <c r="KU25" s="801">
        <f t="shared" si="44"/>
        <v>143066.93498357452</v>
      </c>
      <c r="KV25" s="898">
        <v>1.6626666699999999</v>
      </c>
      <c r="KW25" s="801">
        <f t="shared" si="45"/>
        <v>129776.64350172503</v>
      </c>
      <c r="KX25" s="898">
        <v>1.6626666699999999</v>
      </c>
      <c r="KY25" s="801">
        <f t="shared" si="46"/>
        <v>1111397.1932508384</v>
      </c>
      <c r="KZ25" s="898">
        <v>1.6626666699999999</v>
      </c>
      <c r="LA25" s="919">
        <f t="shared" si="47"/>
        <v>1461987.2679065762</v>
      </c>
      <c r="LB25" s="646">
        <f t="shared" si="48"/>
        <v>12196549.869905207</v>
      </c>
      <c r="LC25" s="646">
        <f t="shared" si="79"/>
        <v>12522947.389407715</v>
      </c>
      <c r="LD25" s="16"/>
      <c r="LE25" s="220"/>
      <c r="LG25" s="222">
        <v>20</v>
      </c>
      <c r="LH25" s="922">
        <v>20</v>
      </c>
      <c r="LI25" s="650">
        <f t="shared" si="12"/>
        <v>17042213.4782</v>
      </c>
      <c r="LJ25" s="650">
        <f t="shared" si="12"/>
        <v>20526137.963974897</v>
      </c>
      <c r="LK25" s="794">
        <f t="shared" si="13"/>
        <v>18286769.296508342</v>
      </c>
      <c r="LL25" s="650">
        <f t="shared" si="14"/>
        <v>14684964.487550676</v>
      </c>
      <c r="LM25" s="650">
        <f t="shared" si="14"/>
        <v>14919461.154238256</v>
      </c>
      <c r="LN25" s="794">
        <f t="shared" si="49"/>
        <v>15318498.301039008</v>
      </c>
      <c r="LO25" s="650">
        <f t="shared" si="50"/>
        <v>2357248.9906493239</v>
      </c>
      <c r="LP25" s="650">
        <f t="shared" si="50"/>
        <v>5606676.8097366411</v>
      </c>
      <c r="LQ25" s="650">
        <f t="shared" si="50"/>
        <v>2968270.9954693336</v>
      </c>
      <c r="MA25" s="312">
        <f>MA24+1</f>
        <v>19</v>
      </c>
      <c r="MB25" s="375" t="s">
        <v>236</v>
      </c>
      <c r="MC25" s="376">
        <f>MC21+MC23-MC10</f>
        <v>129163059.59289664</v>
      </c>
      <c r="MD25" s="377">
        <f>MC25/$MC$34*100</f>
        <v>5.9180629473955912</v>
      </c>
      <c r="ME25" s="375"/>
      <c r="MF25" s="378">
        <f>MF21+MF23-MF10</f>
        <v>129163059.59289664</v>
      </c>
      <c r="MG25" s="377">
        <f>MF25/$MG$34*100</f>
        <v>5.9180629473955912</v>
      </c>
      <c r="MK25" s="312">
        <f>MK24+1</f>
        <v>19</v>
      </c>
      <c r="ML25" s="376" t="str">
        <f>MB25</f>
        <v>Revenue Requirement</v>
      </c>
      <c r="MM25" s="983">
        <v>112402506.16203304</v>
      </c>
      <c r="MN25" s="376">
        <f>MC25</f>
        <v>129163059.59289664</v>
      </c>
      <c r="MO25" s="376">
        <f t="shared" si="70"/>
        <v>16760553.430863604</v>
      </c>
      <c r="MP25" s="944">
        <f t="shared" si="71"/>
        <v>0.14911191932591383</v>
      </c>
    </row>
    <row r="26" spans="1:357" s="29" customFormat="1" ht="17.25" thickBot="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2"/>
      <c r="V26" s="12"/>
      <c r="W26" s="12"/>
      <c r="X26" s="12"/>
      <c r="Y26" s="12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2"/>
      <c r="AK26" s="12"/>
      <c r="AL26" s="299"/>
      <c r="AM26" s="12"/>
      <c r="AN26" s="379"/>
      <c r="AO26" s="380"/>
      <c r="AP26" s="12"/>
      <c r="AQ26" s="15"/>
      <c r="AR26" s="12"/>
      <c r="AS26" s="381"/>
      <c r="AT26" s="381"/>
      <c r="AU26" s="15"/>
      <c r="AV26" s="381"/>
      <c r="AW26" s="381"/>
      <c r="AX26" s="381"/>
      <c r="AY26" s="15"/>
      <c r="AZ26" s="381"/>
      <c r="BA26" s="381"/>
      <c r="BB26" s="381"/>
      <c r="BC26" s="15"/>
      <c r="BD26" s="381"/>
      <c r="BE26" s="381"/>
      <c r="BF26" s="381"/>
      <c r="BG26" s="15"/>
      <c r="BH26" s="381"/>
      <c r="BI26" s="381"/>
      <c r="BJ26" s="381"/>
      <c r="BK26" s="15"/>
      <c r="BL26" s="381"/>
      <c r="BM26" s="381"/>
      <c r="BN26" s="381"/>
      <c r="BO26" s="15"/>
      <c r="BP26" s="381"/>
      <c r="BQ26" s="381"/>
      <c r="BR26" s="381"/>
      <c r="BS26" s="15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12"/>
      <c r="CL26" s="13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3"/>
      <c r="CZ26" s="12"/>
      <c r="DA26" s="12"/>
      <c r="DB26" s="12"/>
      <c r="DC26" s="12"/>
      <c r="DD26" s="16"/>
      <c r="DE26" s="12"/>
      <c r="DF26" s="12"/>
      <c r="DG26" s="12"/>
      <c r="DH26" s="12"/>
      <c r="DI26" s="13"/>
      <c r="DJ26" s="12"/>
      <c r="DK26" s="12"/>
      <c r="DL26" s="12"/>
      <c r="DM26" s="12"/>
      <c r="DN26" s="16"/>
      <c r="DO26" s="12"/>
      <c r="DP26" s="12"/>
      <c r="DQ26" s="12"/>
      <c r="DR26" s="1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3"/>
      <c r="EF26" s="38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3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3"/>
      <c r="FI26" s="12"/>
      <c r="FJ26" s="383">
        <f t="shared" si="78"/>
        <v>21</v>
      </c>
      <c r="FK26" s="384"/>
      <c r="FL26" s="882" t="s">
        <v>237</v>
      </c>
      <c r="FM26" s="880">
        <v>499417.62</v>
      </c>
      <c r="FN26" s="880">
        <v>41431.71</v>
      </c>
      <c r="FO26" s="880">
        <v>265382.31</v>
      </c>
      <c r="FP26" s="881">
        <f t="shared" ref="FP26:FP31" si="113">FM26+FO26+FN26</f>
        <v>806231.6399999999</v>
      </c>
      <c r="FQ26" s="880">
        <v>499417.61999999994</v>
      </c>
      <c r="FR26" s="880">
        <v>41431.71</v>
      </c>
      <c r="FS26" s="880">
        <v>265382.31</v>
      </c>
      <c r="FT26" s="880">
        <v>806231.6399999999</v>
      </c>
      <c r="FU26" s="955">
        <v>806231.6399999999</v>
      </c>
      <c r="FV26" s="16"/>
      <c r="FW26" s="266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3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3"/>
      <c r="GX26" s="12"/>
      <c r="GY26" s="12"/>
      <c r="GZ26" s="302">
        <v>21</v>
      </c>
      <c r="HA26" s="385" t="s">
        <v>71</v>
      </c>
      <c r="HB26" s="385">
        <f>SUM(HB6:HB25)</f>
        <v>202</v>
      </c>
      <c r="HC26" s="385">
        <f>SUM(HC6:HC25)</f>
        <v>221</v>
      </c>
      <c r="HD26" s="386">
        <f>SUM(HD6:HD25)</f>
        <v>2091530523.2727273</v>
      </c>
      <c r="HE26" s="386">
        <f>SUM(HE6:HE25)</f>
        <v>2194071252</v>
      </c>
      <c r="HF26" s="387">
        <f t="shared" si="22"/>
        <v>1.0940594059405941</v>
      </c>
      <c r="HG26" s="387">
        <f t="shared" si="23"/>
        <v>1.0490266470349292</v>
      </c>
      <c r="HH26" s="386"/>
      <c r="HI26" s="386"/>
      <c r="HJ26" s="386"/>
      <c r="HK26" s="190"/>
      <c r="HL26" s="13"/>
      <c r="HM26" s="317"/>
      <c r="HN26" s="388">
        <v>21</v>
      </c>
      <c r="HO26" s="389" t="s">
        <v>71</v>
      </c>
      <c r="HP26" s="390">
        <f t="shared" si="2"/>
        <v>1.0490266470349292</v>
      </c>
      <c r="HQ26" s="391">
        <f t="shared" ref="HQ26:HW26" si="114">SUM(HQ6:HQ25)</f>
        <v>314630.85259999998</v>
      </c>
      <c r="HR26" s="392">
        <f t="shared" si="114"/>
        <v>323903.59259512648</v>
      </c>
      <c r="HS26" s="391">
        <f t="shared" si="114"/>
        <v>232634365.45454544</v>
      </c>
      <c r="HT26" s="392">
        <f t="shared" si="114"/>
        <v>242214042</v>
      </c>
      <c r="HU26" s="391">
        <f t="shared" si="114"/>
        <v>106040187.41487272</v>
      </c>
      <c r="HV26" s="392">
        <f t="shared" si="114"/>
        <v>123895104</v>
      </c>
      <c r="HW26" s="391">
        <f t="shared" si="114"/>
        <v>4505138.589094515</v>
      </c>
      <c r="HX26" s="392">
        <f>SUM(HX6:HX25)</f>
        <v>4786954.6233764458</v>
      </c>
      <c r="HY26" s="391">
        <f>SUM(HQ26,HU26,HW26)</f>
        <v>110859956.85656723</v>
      </c>
      <c r="HZ26" s="391">
        <f>SUM(HR26,HV26,HX26)</f>
        <v>129005962.21597157</v>
      </c>
      <c r="IA26" s="393"/>
      <c r="IB26" s="394"/>
      <c r="IC26" s="393"/>
      <c r="ID26" s="208">
        <v>21</v>
      </c>
      <c r="IE26" s="395" t="s">
        <v>71</v>
      </c>
      <c r="IF26" s="396">
        <f>HF26</f>
        <v>1.0940594059405941</v>
      </c>
      <c r="IG26" s="397">
        <f t="shared" ref="IG26" si="115">HG26</f>
        <v>1.0490266470349292</v>
      </c>
      <c r="IH26" s="398">
        <f t="shared" ref="IH26:IW26" si="116">SUM(IH6:IH25)</f>
        <v>36813199.8476827</v>
      </c>
      <c r="II26" s="399">
        <f t="shared" si="116"/>
        <v>38759425.026482746</v>
      </c>
      <c r="IJ26" s="398">
        <f t="shared" si="116"/>
        <v>1805841.8473045456</v>
      </c>
      <c r="IK26" s="399">
        <f t="shared" si="116"/>
        <v>1927835.2228029165</v>
      </c>
      <c r="IL26" s="398">
        <f t="shared" si="116"/>
        <v>17962433.615376391</v>
      </c>
      <c r="IM26" s="399">
        <f t="shared" si="116"/>
        <v>18604918.663317382</v>
      </c>
      <c r="IN26" s="398">
        <f t="shared" si="116"/>
        <v>23103829.087177191</v>
      </c>
      <c r="IO26" s="399">
        <f t="shared" si="116"/>
        <v>24327750.680698965</v>
      </c>
      <c r="IP26" s="398">
        <f t="shared" si="116"/>
        <v>2229849.6176878791</v>
      </c>
      <c r="IQ26" s="399">
        <f t="shared" si="116"/>
        <v>2404636.0465707122</v>
      </c>
      <c r="IR26" s="398">
        <f t="shared" si="116"/>
        <v>1392570.6222590909</v>
      </c>
      <c r="IS26" s="399">
        <f t="shared" si="116"/>
        <v>1494191.7007989204</v>
      </c>
      <c r="IT26" s="398">
        <f t="shared" si="116"/>
        <v>5942658.7207094552</v>
      </c>
      <c r="IU26" s="399">
        <f t="shared" si="116"/>
        <v>6168270.1152246939</v>
      </c>
      <c r="IV26" s="398">
        <f t="shared" si="116"/>
        <v>12035251.726130454</v>
      </c>
      <c r="IW26" s="399">
        <f t="shared" si="116"/>
        <v>12737461.434445117</v>
      </c>
      <c r="IX26" s="398">
        <f t="shared" si="31"/>
        <v>101285635.08432771</v>
      </c>
      <c r="IY26" s="398">
        <f>II26+IK26+IM26+IO26+IU26+IW26+IQ26+IS26</f>
        <v>106424488.89034145</v>
      </c>
      <c r="IZ26" s="400">
        <f t="shared" si="4"/>
        <v>4.8505484401808046</v>
      </c>
      <c r="JA26" s="190"/>
      <c r="JB26" s="401"/>
      <c r="JC26" s="12"/>
      <c r="JD26" s="302">
        <v>21</v>
      </c>
      <c r="JE26" s="385" t="s">
        <v>71</v>
      </c>
      <c r="JF26" s="344">
        <f>SUM(JF6:JF25)</f>
        <v>221</v>
      </c>
      <c r="JG26" s="344">
        <f>SUM(JG6:JG25)</f>
        <v>219</v>
      </c>
      <c r="JH26" s="402">
        <f>SUM(JH6:JH25)</f>
        <v>2194071252</v>
      </c>
      <c r="JI26" s="1003">
        <f>'Actuals Phase II Schedules'!L28</f>
        <v>2182522571</v>
      </c>
      <c r="JJ26" s="403">
        <f t="shared" si="33"/>
        <v>0.99095022624434392</v>
      </c>
      <c r="JK26" s="403">
        <f t="shared" si="34"/>
        <v>0.99473641478622321</v>
      </c>
      <c r="JL26" s="403">
        <f>LC27/LB28</f>
        <v>1.0292494311210925</v>
      </c>
      <c r="JM26" s="404" t="s">
        <v>238</v>
      </c>
      <c r="JN26" s="405"/>
      <c r="JO26" s="406"/>
      <c r="JP26" s="405"/>
      <c r="JQ26" s="192">
        <v>21</v>
      </c>
      <c r="JR26" s="407" t="s">
        <v>71</v>
      </c>
      <c r="JS26" s="408" t="str">
        <f>JM26</f>
        <v>Q3</v>
      </c>
      <c r="JT26" s="409">
        <f t="shared" si="8"/>
        <v>1.0292494311210925</v>
      </c>
      <c r="JU26" s="320">
        <f>SUM(JU6:JU25)</f>
        <v>323903.59259512648</v>
      </c>
      <c r="JV26" s="320">
        <f>SUM(JV6:JV25)</f>
        <v>334355.1237527568</v>
      </c>
      <c r="JW26" s="320">
        <f t="shared" si="9"/>
        <v>242214042</v>
      </c>
      <c r="JX26" s="320">
        <f>SUMPRODUCT('Actuals Phase II Schedules'!HS4:HS27,'Actuals Phase II Schedules'!HX4:HX27)/100</f>
        <v>240819284.15000001</v>
      </c>
      <c r="JY26" s="320">
        <f>SUM(JY6:JY25)</f>
        <v>123895104</v>
      </c>
      <c r="JZ26" s="320">
        <f>SUMPRODUCT('Actuals Phase II Schedules'!JI4:JI27,'Actuals Phase II Schedules'!JK4:JK27)/100</f>
        <v>108071775.95106348</v>
      </c>
      <c r="KA26" s="320">
        <f>SUM(KA6:KA25)</f>
        <v>4786954.6233764458</v>
      </c>
      <c r="KB26" s="320">
        <f>'Actuals Phase II Schedules'!II4*'Actuals Phase II Schedules'!IH4</f>
        <v>4749598.8</v>
      </c>
      <c r="KC26" s="320">
        <f>SUM(JU26,JY26,KA26)</f>
        <v>129005962.21597157</v>
      </c>
      <c r="KD26" s="320">
        <f>SUM(JV26,JZ26,KB26)</f>
        <v>113155729.87481624</v>
      </c>
      <c r="KE26" s="405"/>
      <c r="KF26" s="406"/>
      <c r="KG26" s="405"/>
      <c r="KH26" s="243">
        <f t="shared" si="65"/>
        <v>21</v>
      </c>
      <c r="KI26" s="891">
        <v>20</v>
      </c>
      <c r="KJ26" s="920">
        <f t="shared" si="66"/>
        <v>1</v>
      </c>
      <c r="KK26" s="920">
        <f t="shared" si="66"/>
        <v>0.99473641478622321</v>
      </c>
      <c r="KL26" s="683">
        <v>1.6626666699999999</v>
      </c>
      <c r="KM26" s="794">
        <f t="shared" si="67"/>
        <v>6013406.7035920275</v>
      </c>
      <c r="KN26" s="683">
        <v>1.6626666699999999</v>
      </c>
      <c r="KO26" s="895">
        <f t="shared" si="42"/>
        <v>230701.33950334412</v>
      </c>
      <c r="KP26" s="683">
        <v>1.6626666699999999</v>
      </c>
      <c r="KQ26" s="794">
        <f t="shared" si="43"/>
        <v>2712238.4456101679</v>
      </c>
      <c r="KR26" s="683">
        <v>1.6626666699999999</v>
      </c>
      <c r="KS26" s="895">
        <f t="shared" si="68"/>
        <v>2775970.3621790558</v>
      </c>
      <c r="KT26" s="683">
        <v>1.6626666699999999</v>
      </c>
      <c r="KU26" s="895">
        <f t="shared" si="44"/>
        <v>422113.65510220925</v>
      </c>
      <c r="KV26" s="683">
        <v>1.6626666699999999</v>
      </c>
      <c r="KW26" s="895">
        <f t="shared" si="45"/>
        <v>164704.65211626055</v>
      </c>
      <c r="KX26" s="683">
        <v>1.6626666699999999</v>
      </c>
      <c r="KY26" s="895">
        <f t="shared" si="46"/>
        <v>1307552.8709212826</v>
      </c>
      <c r="KZ26" s="683">
        <v>1.6626666699999999</v>
      </c>
      <c r="LA26" s="794">
        <f t="shared" si="47"/>
        <v>1691810.2720146594</v>
      </c>
      <c r="LB26" s="650">
        <f t="shared" si="48"/>
        <v>14919461.154238256</v>
      </c>
      <c r="LC26" s="650">
        <f t="shared" si="79"/>
        <v>15318498.301039008</v>
      </c>
      <c r="LD26" s="16"/>
      <c r="LE26" s="13"/>
      <c r="LF26" s="12"/>
      <c r="LG26" s="192">
        <v>21</v>
      </c>
      <c r="LH26" s="410" t="s">
        <v>71</v>
      </c>
      <c r="LI26" s="320">
        <f>SUM(LI6:LI25)</f>
        <v>110859956.85656722</v>
      </c>
      <c r="LJ26" s="320">
        <f t="shared" ref="LJ26:LN26" si="117">SUM(LJ6:LJ25)</f>
        <v>129005962.21597156</v>
      </c>
      <c r="LK26" s="321">
        <f t="shared" si="117"/>
        <v>113155729.87481624</v>
      </c>
      <c r="LL26" s="320">
        <f t="shared" si="117"/>
        <v>101285635.0843277</v>
      </c>
      <c r="LM26" s="320">
        <f t="shared" si="117"/>
        <v>106424488.89034146</v>
      </c>
      <c r="LN26" s="321">
        <f t="shared" si="117"/>
        <v>109537344.64773695</v>
      </c>
      <c r="LO26" s="320">
        <f t="shared" si="50"/>
        <v>9574321.7722395211</v>
      </c>
      <c r="LP26" s="320">
        <f t="shared" si="50"/>
        <v>22581473.325630099</v>
      </c>
      <c r="LQ26" s="320">
        <f t="shared" si="50"/>
        <v>3618385.2270792872</v>
      </c>
      <c r="LR26" s="12"/>
      <c r="LS26" s="13"/>
      <c r="LT26" s="12"/>
      <c r="LU26" s="12"/>
      <c r="LV26" s="12"/>
      <c r="LW26" s="12"/>
      <c r="LX26" s="12"/>
      <c r="LY26" s="13"/>
      <c r="LZ26" s="12"/>
      <c r="MA26" s="222">
        <f>MA25+1</f>
        <v>20</v>
      </c>
      <c r="MB26" s="650" t="s">
        <v>239</v>
      </c>
      <c r="MC26" s="650">
        <v>0</v>
      </c>
      <c r="MD26" s="747">
        <f>MC26/$MC$34*100</f>
        <v>0</v>
      </c>
      <c r="ME26" s="934"/>
      <c r="MF26" s="792">
        <f>MC26</f>
        <v>0</v>
      </c>
      <c r="MG26" s="747">
        <f>MF26/$MC$34*100</f>
        <v>0</v>
      </c>
      <c r="MH26" s="12"/>
      <c r="MI26" s="13"/>
      <c r="MJ26" s="12"/>
      <c r="MK26" s="222">
        <f>MK25+1</f>
        <v>20</v>
      </c>
      <c r="ML26" s="650" t="s">
        <v>239</v>
      </c>
      <c r="MM26" s="979">
        <v>0</v>
      </c>
      <c r="MN26" s="650">
        <f>MC26</f>
        <v>0</v>
      </c>
      <c r="MO26" s="650">
        <f t="shared" si="70"/>
        <v>0</v>
      </c>
      <c r="MP26" s="723">
        <f>IFERROR(MO26/MM26,0)</f>
        <v>0</v>
      </c>
      <c r="MQ26" s="12"/>
      <c r="MR26" s="13"/>
      <c r="MS26" s="12"/>
    </row>
    <row r="27" spans="1:357" ht="17.25" thickBot="1" x14ac:dyDescent="0.35">
      <c r="G27" s="411"/>
      <c r="H27" s="411"/>
      <c r="I27" s="411"/>
      <c r="J27" s="411"/>
      <c r="O27" s="411"/>
      <c r="AL27" s="299"/>
      <c r="AN27" s="287"/>
      <c r="AS27" s="19"/>
      <c r="AT27" s="235"/>
      <c r="AV27" s="19"/>
      <c r="AW27" s="235"/>
      <c r="AX27" s="236"/>
      <c r="AZ27" s="19"/>
      <c r="BA27" s="235"/>
      <c r="BB27" s="236"/>
      <c r="BD27" s="19"/>
      <c r="BE27" s="235"/>
      <c r="BF27" s="236"/>
      <c r="BH27" s="19"/>
      <c r="BI27" s="235"/>
      <c r="BJ27" s="236"/>
      <c r="BL27" s="19"/>
      <c r="BM27" s="235"/>
      <c r="BN27" s="236"/>
      <c r="BP27" s="19"/>
      <c r="BQ27" s="235"/>
      <c r="BR27" s="236"/>
      <c r="BT27" s="19"/>
      <c r="BU27" s="235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19"/>
      <c r="CH27" s="236"/>
      <c r="CI27" s="236"/>
      <c r="CJ27" s="236"/>
      <c r="DU27" s="12"/>
      <c r="DV27" s="12"/>
      <c r="DW27" s="12"/>
      <c r="DX27" s="12"/>
      <c r="DY27" s="12"/>
      <c r="ED27" s="382"/>
      <c r="FJ27" s="222">
        <f t="shared" si="78"/>
        <v>22</v>
      </c>
      <c r="FK27" s="242"/>
      <c r="FL27" s="877" t="s">
        <v>240</v>
      </c>
      <c r="FM27" s="650">
        <v>0</v>
      </c>
      <c r="FN27" s="650">
        <v>26629</v>
      </c>
      <c r="FO27" s="650">
        <v>20428.21</v>
      </c>
      <c r="FP27" s="794">
        <f t="shared" si="113"/>
        <v>47057.21</v>
      </c>
      <c r="FQ27" s="650">
        <v>0</v>
      </c>
      <c r="FR27" s="650">
        <v>26629</v>
      </c>
      <c r="FS27" s="650">
        <v>20428.210000000003</v>
      </c>
      <c r="FT27" s="650">
        <v>47057.210000000006</v>
      </c>
      <c r="FU27" s="955">
        <v>47057.210000000006</v>
      </c>
      <c r="FV27" s="16"/>
      <c r="FW27" s="266"/>
      <c r="GZ27" s="412"/>
      <c r="HM27" s="5"/>
      <c r="HN27" s="413">
        <v>22</v>
      </c>
      <c r="HO27" s="414" t="s">
        <v>241</v>
      </c>
      <c r="HP27" s="415"/>
      <c r="HQ27" s="416"/>
      <c r="HR27" s="417">
        <f>HR26/HQ26</f>
        <v>1.029471807734365</v>
      </c>
      <c r="HS27" s="416"/>
      <c r="HT27" s="417">
        <f>HT26/HS26</f>
        <v>1.0411791118080804</v>
      </c>
      <c r="HU27" s="416"/>
      <c r="HV27" s="417">
        <f>HV26/HU26</f>
        <v>1.1683787724296593</v>
      </c>
      <c r="HW27" s="416"/>
      <c r="HX27" s="417">
        <f>HX26/HW26</f>
        <v>1.0625543540356597</v>
      </c>
      <c r="HY27" s="416"/>
      <c r="HZ27" s="418">
        <f>HZ26/HY26</f>
        <v>1.1636840377169007</v>
      </c>
      <c r="IA27" s="419"/>
      <c r="IB27" s="420"/>
      <c r="IC27" s="419"/>
      <c r="ID27" s="421">
        <v>22</v>
      </c>
      <c r="IE27" s="416" t="s">
        <v>241</v>
      </c>
      <c r="IF27" s="422"/>
      <c r="IG27" s="422"/>
      <c r="IH27" s="423"/>
      <c r="II27" s="424">
        <f>II26/IH26</f>
        <v>1.0528675906156677</v>
      </c>
      <c r="IJ27" s="423"/>
      <c r="IK27" s="424">
        <f>IK26/IJ26</f>
        <v>1.0675548502104224</v>
      </c>
      <c r="IL27" s="423"/>
      <c r="IM27" s="424">
        <f>IM26/IL26</f>
        <v>1.0357682629034746</v>
      </c>
      <c r="IN27" s="423"/>
      <c r="IO27" s="424">
        <f>IO26/IN26</f>
        <v>1.0529748375865999</v>
      </c>
      <c r="IP27" s="425"/>
      <c r="IQ27" s="424">
        <f>IQ26/IP26</f>
        <v>1.078384850483356</v>
      </c>
      <c r="IR27" s="425"/>
      <c r="IS27" s="424">
        <f>IS26/IR26</f>
        <v>1.0729737342692001</v>
      </c>
      <c r="IT27" s="423"/>
      <c r="IU27" s="424">
        <f>IU26/IT26</f>
        <v>1.0379647233870271</v>
      </c>
      <c r="IV27" s="423"/>
      <c r="IW27" s="424">
        <f>IW26/IV26</f>
        <v>1.058346075702767</v>
      </c>
      <c r="IX27" s="425"/>
      <c r="IY27" s="426">
        <f>IY26/IX26</f>
        <v>1.0507362549658228</v>
      </c>
      <c r="IZ27" s="426"/>
      <c r="JA27" s="236"/>
      <c r="JB27" s="299"/>
      <c r="JH27" s="235"/>
      <c r="JO27" s="427"/>
      <c r="JP27" s="428"/>
      <c r="JQ27" s="429">
        <v>22</v>
      </c>
      <c r="JR27" s="430" t="s">
        <v>242</v>
      </c>
      <c r="JS27" s="430"/>
      <c r="JT27" s="430"/>
      <c r="JU27" s="425"/>
      <c r="JV27" s="431">
        <f>JV26/JU26</f>
        <v>1.0322674135037908</v>
      </c>
      <c r="JW27" s="423"/>
      <c r="JX27" s="431">
        <f>JX26/JW26</f>
        <v>0.99424163092080353</v>
      </c>
      <c r="JY27" s="423"/>
      <c r="JZ27" s="431">
        <f>JZ26/JY26</f>
        <v>0.87228447664133268</v>
      </c>
      <c r="KA27" s="432"/>
      <c r="KB27" s="432">
        <f>KB26/KA26</f>
        <v>0.99219632808006497</v>
      </c>
      <c r="KC27" s="423"/>
      <c r="KD27" s="432">
        <f>KD26/KC26</f>
        <v>0.87713566048505476</v>
      </c>
      <c r="KE27" s="428"/>
      <c r="KF27" s="427"/>
      <c r="KG27" s="428"/>
      <c r="KH27" s="433">
        <f t="shared" si="65"/>
        <v>22</v>
      </c>
      <c r="KI27" s="434" t="s">
        <v>71</v>
      </c>
      <c r="KJ27" s="435">
        <f t="shared" si="66"/>
        <v>0.99095022624434392</v>
      </c>
      <c r="KK27" s="435">
        <f t="shared" si="66"/>
        <v>0.99473641478622321</v>
      </c>
      <c r="KL27" s="436"/>
      <c r="KM27" s="437">
        <f>SUM(KM7:KM26)</f>
        <v>39859467.818068884</v>
      </c>
      <c r="KN27" s="438"/>
      <c r="KO27" s="439">
        <f>SUM(KO7:KO26)</f>
        <v>1983407.3772948217</v>
      </c>
      <c r="KP27" s="440"/>
      <c r="KQ27" s="437">
        <f>SUM(KQ7:KQ26)</f>
        <v>19173425.776259005</v>
      </c>
      <c r="KR27" s="441"/>
      <c r="KS27" s="439">
        <f>SUM(KS7:KS26)</f>
        <v>25073716.728897151</v>
      </c>
      <c r="KT27" s="442"/>
      <c r="KU27" s="439">
        <f>SUM(KU7:KU26)</f>
        <v>2473480.6921755313</v>
      </c>
      <c r="KV27" s="442"/>
      <c r="KW27" s="439">
        <f>SUM(KW7:KW26)</f>
        <v>1536727.4259793879</v>
      </c>
      <c r="KX27" s="442"/>
      <c r="KY27" s="439">
        <f>SUM(KY7:KY26)</f>
        <v>6337116.5493326727</v>
      </c>
      <c r="KZ27" s="442"/>
      <c r="LA27" s="437">
        <f>SUM(LA7:LA26)</f>
        <v>13100002.279729499</v>
      </c>
      <c r="LB27" s="439"/>
      <c r="LC27" s="439">
        <f>KM27+KO27+KQ27+KS27+KY27+LA27+KU27+KW27</f>
        <v>109537344.64773697</v>
      </c>
      <c r="LD27" s="16"/>
      <c r="LE27" s="443"/>
      <c r="LG27" s="5"/>
      <c r="LI27" s="953" t="s">
        <v>243</v>
      </c>
      <c r="LJ27" s="444"/>
      <c r="LK27" s="204"/>
      <c r="LL27" s="204"/>
      <c r="LM27" s="204"/>
      <c r="LN27" s="204"/>
      <c r="LO27" s="204"/>
      <c r="LP27" s="204"/>
      <c r="MA27" s="312">
        <f>MA26+1</f>
        <v>21</v>
      </c>
      <c r="MB27" s="935" t="s">
        <v>244</v>
      </c>
      <c r="MC27" s="935">
        <v>0</v>
      </c>
      <c r="MD27" s="936">
        <f>MC27/$MC$34*100</f>
        <v>0</v>
      </c>
      <c r="ME27" s="803"/>
      <c r="MF27" s="937">
        <f>MC27</f>
        <v>0</v>
      </c>
      <c r="MG27" s="936">
        <f>MF27/$MC$34*100</f>
        <v>0</v>
      </c>
      <c r="MK27" s="312">
        <f>MK26+1</f>
        <v>21</v>
      </c>
      <c r="ML27" s="935" t="s">
        <v>244</v>
      </c>
      <c r="MM27" s="980">
        <v>0</v>
      </c>
      <c r="MN27" s="935">
        <v>0</v>
      </c>
      <c r="MO27" s="935">
        <f t="shared" si="70"/>
        <v>0</v>
      </c>
      <c r="MP27" s="944">
        <f>IFERROR(MO27/MM27,0)</f>
        <v>0</v>
      </c>
    </row>
    <row r="28" spans="1:357" s="29" customFormat="1" ht="17.25" thickBot="1" x14ac:dyDescent="0.35">
      <c r="A28" s="12"/>
      <c r="B28" s="462"/>
      <c r="C28" s="462"/>
      <c r="D28" s="462"/>
      <c r="E28" s="462"/>
      <c r="F28" s="462"/>
      <c r="G28" s="462"/>
      <c r="H28" s="462"/>
      <c r="I28" s="462"/>
      <c r="J28" s="462"/>
      <c r="K28" s="12"/>
      <c r="L28" s="12"/>
      <c r="M28" s="462"/>
      <c r="N28" s="462"/>
      <c r="O28" s="411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299"/>
      <c r="AM28" s="12"/>
      <c r="AN28" s="287"/>
      <c r="AO28" s="12"/>
      <c r="AP28" s="12"/>
      <c r="AQ28" s="12"/>
      <c r="AR28" s="12"/>
      <c r="AS28" s="19"/>
      <c r="AT28" s="235"/>
      <c r="AU28" s="12"/>
      <c r="AV28" s="19"/>
      <c r="AW28" s="235"/>
      <c r="AX28" s="236"/>
      <c r="AY28" s="12"/>
      <c r="AZ28" s="19"/>
      <c r="BA28" s="235"/>
      <c r="BB28" s="236"/>
      <c r="BC28" s="12"/>
      <c r="BD28" s="19"/>
      <c r="BE28" s="235"/>
      <c r="BF28" s="236"/>
      <c r="BG28" s="12"/>
      <c r="BH28" s="19"/>
      <c r="BI28" s="235"/>
      <c r="BJ28" s="236"/>
      <c r="BK28" s="12"/>
      <c r="BL28" s="19"/>
      <c r="BM28" s="235"/>
      <c r="BN28" s="236"/>
      <c r="BO28" s="12"/>
      <c r="BP28" s="19"/>
      <c r="BQ28" s="235"/>
      <c r="BR28" s="236"/>
      <c r="BS28" s="12"/>
      <c r="BT28" s="19"/>
      <c r="BU28" s="235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19"/>
      <c r="CG28" s="12"/>
      <c r="CH28" s="236"/>
      <c r="CI28" s="236"/>
      <c r="CJ28" s="236"/>
      <c r="CK28" s="12"/>
      <c r="CL28" s="13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3"/>
      <c r="CZ28" s="12"/>
      <c r="DA28" s="12"/>
      <c r="DB28" s="12"/>
      <c r="DC28" s="12"/>
      <c r="DD28" s="16"/>
      <c r="DE28" s="12"/>
      <c r="DF28" s="12"/>
      <c r="DG28" s="12"/>
      <c r="DH28" s="12"/>
      <c r="DI28" s="13"/>
      <c r="DJ28" s="12"/>
      <c r="DK28" s="12"/>
      <c r="DL28" s="12"/>
      <c r="DM28" s="12"/>
      <c r="DN28" s="16"/>
      <c r="DO28" s="12"/>
      <c r="DP28" s="12"/>
      <c r="DQ28" s="12"/>
      <c r="DR28" s="13"/>
      <c r="DS28" s="12"/>
      <c r="DT28" s="12"/>
      <c r="DU28" s="17"/>
      <c r="DV28" s="18"/>
      <c r="DW28" s="18"/>
      <c r="DX28" s="18"/>
      <c r="DY28" s="18"/>
      <c r="DZ28" s="12"/>
      <c r="EA28" s="12"/>
      <c r="EB28" s="12"/>
      <c r="EC28" s="12"/>
      <c r="ED28" s="12"/>
      <c r="EE28" s="13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3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3"/>
      <c r="FI28" s="12"/>
      <c r="FJ28" s="383">
        <f t="shared" si="78"/>
        <v>23</v>
      </c>
      <c r="FK28" s="384"/>
      <c r="FL28" s="882" t="s">
        <v>245</v>
      </c>
      <c r="FM28" s="880">
        <v>59179</v>
      </c>
      <c r="FN28" s="880">
        <v>53103</v>
      </c>
      <c r="FO28" s="880">
        <v>52452</v>
      </c>
      <c r="FP28" s="881">
        <f t="shared" si="113"/>
        <v>164734</v>
      </c>
      <c r="FQ28" s="880">
        <v>0</v>
      </c>
      <c r="FR28" s="880">
        <v>0</v>
      </c>
      <c r="FS28" s="880">
        <v>0</v>
      </c>
      <c r="FT28" s="880">
        <v>0</v>
      </c>
      <c r="FU28" s="955">
        <v>0</v>
      </c>
      <c r="FV28" s="16"/>
      <c r="FW28" s="266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3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3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401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3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952" t="s">
        <v>246</v>
      </c>
      <c r="IY28" s="12"/>
      <c r="IZ28" s="12"/>
      <c r="JA28" s="12"/>
      <c r="JB28" s="13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445"/>
      <c r="JP28" s="446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446"/>
      <c r="KD28" s="446"/>
      <c r="KE28" s="446"/>
      <c r="KF28" s="445"/>
      <c r="KG28" s="446"/>
      <c r="KH28" s="447">
        <f t="shared" si="65"/>
        <v>23</v>
      </c>
      <c r="KI28" s="430" t="s">
        <v>242</v>
      </c>
      <c r="KJ28" s="448"/>
      <c r="KK28" s="449"/>
      <c r="KL28" s="450">
        <f>II26</f>
        <v>38759425.026482746</v>
      </c>
      <c r="KM28" s="431">
        <f>KM27/KL28</f>
        <v>1.0283812979897025</v>
      </c>
      <c r="KN28" s="450">
        <f>IK26</f>
        <v>1927835.2228029165</v>
      </c>
      <c r="KO28" s="431">
        <f>KO27/KN28</f>
        <v>1.0288261952238364</v>
      </c>
      <c r="KP28" s="450">
        <f>IM26</f>
        <v>18604918.663317382</v>
      </c>
      <c r="KQ28" s="431">
        <f>KQ27/KP28</f>
        <v>1.0305568179699989</v>
      </c>
      <c r="KR28" s="451">
        <f>IO26</f>
        <v>24327750.680698965</v>
      </c>
      <c r="KS28" s="431">
        <f>KS27/IO26</f>
        <v>1.0306631738375227</v>
      </c>
      <c r="KT28" s="450">
        <f>IQ26</f>
        <v>2404636.0465707122</v>
      </c>
      <c r="KU28" s="431">
        <f>KU27/KT28</f>
        <v>1.0286299648975983</v>
      </c>
      <c r="KV28" s="450">
        <f>IS26</f>
        <v>1494191.7007989204</v>
      </c>
      <c r="KW28" s="431">
        <f>KW27/KV28</f>
        <v>1.0284673814997931</v>
      </c>
      <c r="KX28" s="450">
        <f>IU26</f>
        <v>6168270.1152246939</v>
      </c>
      <c r="KY28" s="431">
        <f>KY27/KX28</f>
        <v>1.0273733852366853</v>
      </c>
      <c r="KZ28" s="450">
        <f>IW26</f>
        <v>12737461.434445117</v>
      </c>
      <c r="LA28" s="431">
        <f>LA27/KZ28</f>
        <v>1.0284625666699949</v>
      </c>
      <c r="LB28" s="450">
        <f>IY26</f>
        <v>106424488.89034145</v>
      </c>
      <c r="LC28" s="432">
        <f>LC27/LB28</f>
        <v>1.0292494311210925</v>
      </c>
      <c r="LD28" s="452"/>
      <c r="LE28" s="13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3"/>
      <c r="LT28" s="12"/>
      <c r="LU28" s="12"/>
      <c r="LV28" s="12"/>
      <c r="LW28" s="12"/>
      <c r="LX28" s="12"/>
      <c r="LY28" s="13"/>
      <c r="LZ28" s="12"/>
      <c r="MA28" s="222">
        <f t="shared" ref="MA28:MA31" si="118">MA27+1</f>
        <v>22</v>
      </c>
      <c r="MB28" s="453" t="s">
        <v>247</v>
      </c>
      <c r="MC28" s="454">
        <f>SUM(MC25:MC27)</f>
        <v>129163059.59289664</v>
      </c>
      <c r="MD28" s="455">
        <f>MC28/$MC$34*100</f>
        <v>5.9180629473955912</v>
      </c>
      <c r="ME28" s="307"/>
      <c r="MF28" s="456">
        <f>SUM(MF25:MF27)</f>
        <v>129163059.59289664</v>
      </c>
      <c r="MG28" s="455">
        <f>MF28/$MC$34*100</f>
        <v>5.9180629473955912</v>
      </c>
      <c r="MH28" s="12"/>
      <c r="MI28" s="13"/>
      <c r="MJ28" s="12"/>
      <c r="MK28" s="222">
        <f t="shared" ref="MK28:MK32" si="119">MK27+1</f>
        <v>22</v>
      </c>
      <c r="ML28" s="453" t="s">
        <v>247</v>
      </c>
      <c r="MM28" s="984">
        <v>112402506.16203304</v>
      </c>
      <c r="MN28" s="454">
        <f>MN25+MN26+MN27</f>
        <v>129163059.59289664</v>
      </c>
      <c r="MO28" s="309">
        <f t="shared" si="70"/>
        <v>16760553.430863604</v>
      </c>
      <c r="MP28" s="723">
        <f t="shared" si="71"/>
        <v>0.14911191932591383</v>
      </c>
      <c r="MQ28" s="12"/>
      <c r="MR28" s="13"/>
      <c r="MS28" s="12"/>
    </row>
    <row r="29" spans="1:357" ht="16.5" x14ac:dyDescent="0.3"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AL29" s="299"/>
      <c r="AN29" s="287"/>
      <c r="AS29" s="19"/>
      <c r="AT29" s="235"/>
      <c r="AV29" s="19"/>
      <c r="AW29" s="235"/>
      <c r="AX29" s="236"/>
      <c r="AZ29" s="19"/>
      <c r="BA29" s="235"/>
      <c r="BB29" s="236"/>
      <c r="BD29" s="19"/>
      <c r="BE29" s="235"/>
      <c r="BF29" s="236"/>
      <c r="BH29" s="19"/>
      <c r="BI29" s="235"/>
      <c r="BJ29" s="236"/>
      <c r="BL29" s="19"/>
      <c r="BM29" s="235"/>
      <c r="BN29" s="236"/>
      <c r="BP29" s="19"/>
      <c r="BQ29" s="235"/>
      <c r="BR29" s="236"/>
      <c r="BT29" s="19"/>
      <c r="BU29" s="235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19"/>
      <c r="CH29" s="236"/>
      <c r="CI29" s="236"/>
      <c r="CJ29" s="236"/>
      <c r="FJ29" s="222">
        <f t="shared" si="78"/>
        <v>24</v>
      </c>
      <c r="FK29" s="242"/>
      <c r="FL29" s="877" t="s">
        <v>248</v>
      </c>
      <c r="FM29" s="650">
        <v>10863</v>
      </c>
      <c r="FN29" s="650">
        <v>82972.12999999999</v>
      </c>
      <c r="FO29" s="650">
        <v>103206.25</v>
      </c>
      <c r="FP29" s="794">
        <f t="shared" si="113"/>
        <v>197041.38</v>
      </c>
      <c r="FQ29" s="650">
        <v>10863</v>
      </c>
      <c r="FR29" s="650">
        <v>82972.12999999999</v>
      </c>
      <c r="FS29" s="650">
        <v>103206.25</v>
      </c>
      <c r="FT29" s="650">
        <v>197041.38</v>
      </c>
      <c r="FU29" s="955">
        <v>197041.38</v>
      </c>
      <c r="FV29" s="16"/>
      <c r="FW29" s="266"/>
      <c r="IK29" s="12"/>
      <c r="IM29" s="12"/>
      <c r="IX29" s="952" t="s">
        <v>249</v>
      </c>
      <c r="IZ29" s="236"/>
      <c r="JA29" s="236"/>
      <c r="JB29" s="299"/>
      <c r="JO29" s="445"/>
      <c r="JP29" s="446"/>
      <c r="JQ29" s="446"/>
      <c r="JR29" s="446"/>
      <c r="JS29" s="446"/>
      <c r="JT29" s="446"/>
      <c r="JU29" s="446"/>
      <c r="JW29" s="446"/>
      <c r="JX29" s="457"/>
      <c r="JY29" s="446"/>
      <c r="JZ29" s="457"/>
      <c r="KA29" s="457"/>
      <c r="KB29" s="457"/>
      <c r="KC29" s="446"/>
      <c r="KD29" s="446"/>
      <c r="KE29" s="446"/>
      <c r="KF29" s="445"/>
      <c r="KG29" s="446"/>
      <c r="KM29" s="236"/>
      <c r="KO29" s="236"/>
      <c r="KQ29" s="236"/>
      <c r="KR29" s="12"/>
      <c r="KV29" s="236"/>
      <c r="KW29" s="236"/>
      <c r="KY29" s="236"/>
      <c r="LA29" s="236"/>
      <c r="LC29" s="236"/>
      <c r="LD29" s="411"/>
      <c r="MA29" s="192">
        <f t="shared" si="118"/>
        <v>23</v>
      </c>
      <c r="MB29" s="291" t="s">
        <v>250</v>
      </c>
      <c r="MC29" s="458">
        <f>MC11</f>
        <v>4749598.8</v>
      </c>
      <c r="MD29" s="331">
        <f t="shared" ref="MD29" si="120">MC29/$MC$34*100</f>
        <v>0.21761968756290126</v>
      </c>
      <c r="ME29" s="458">
        <f t="shared" ref="ME29:MF29" si="121">ME11</f>
        <v>0</v>
      </c>
      <c r="MF29" s="459">
        <f t="shared" si="121"/>
        <v>4749598.8</v>
      </c>
      <c r="MG29" s="331">
        <f t="shared" ref="MG29" si="122">MF29/$MC$34*100</f>
        <v>0.21761968756290126</v>
      </c>
      <c r="MK29" s="192">
        <f t="shared" si="119"/>
        <v>23</v>
      </c>
      <c r="ML29" s="291" t="s">
        <v>250</v>
      </c>
      <c r="MM29" s="984">
        <v>4758928.0499999989</v>
      </c>
      <c r="MN29" s="458">
        <f>MC29</f>
        <v>4749598.8</v>
      </c>
      <c r="MO29" s="320">
        <f t="shared" si="70"/>
        <v>-9329.2499999990687</v>
      </c>
      <c r="MP29" s="802">
        <f t="shared" si="71"/>
        <v>-1.9603679446254857E-3</v>
      </c>
    </row>
    <row r="30" spans="1:357" s="29" customFormat="1" ht="16.5" x14ac:dyDescent="0.3">
      <c r="A30" s="12"/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11"/>
      <c r="P30" s="12"/>
      <c r="Q30" s="12"/>
      <c r="R30" s="12"/>
      <c r="S30" s="12"/>
      <c r="T30" s="13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/>
      <c r="AF30" s="12"/>
      <c r="AG30" s="12"/>
      <c r="AH30" s="12"/>
      <c r="AI30" s="12"/>
      <c r="AJ30" s="12"/>
      <c r="AK30" s="12"/>
      <c r="AL30" s="299"/>
      <c r="AM30" s="12"/>
      <c r="AN30" s="287"/>
      <c r="AO30" s="12"/>
      <c r="AP30" s="12"/>
      <c r="AQ30" s="12"/>
      <c r="AR30" s="12"/>
      <c r="AS30" s="19"/>
      <c r="AT30" s="235"/>
      <c r="AU30" s="12"/>
      <c r="AV30" s="19"/>
      <c r="AW30" s="235"/>
      <c r="AX30" s="236"/>
      <c r="AY30" s="12"/>
      <c r="AZ30" s="19"/>
      <c r="BA30" s="235"/>
      <c r="BB30" s="236"/>
      <c r="BC30" s="12"/>
      <c r="BD30" s="19"/>
      <c r="BE30" s="235"/>
      <c r="BF30" s="236"/>
      <c r="BG30" s="12"/>
      <c r="BH30" s="19"/>
      <c r="BI30" s="235"/>
      <c r="BJ30" s="236"/>
      <c r="BK30" s="12"/>
      <c r="BL30" s="19"/>
      <c r="BM30" s="235"/>
      <c r="BN30" s="236"/>
      <c r="BO30" s="12"/>
      <c r="BP30" s="19"/>
      <c r="BQ30" s="235"/>
      <c r="BR30" s="236"/>
      <c r="BS30" s="12"/>
      <c r="BT30" s="19"/>
      <c r="BU30" s="235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19"/>
      <c r="CG30" s="12"/>
      <c r="CH30" s="236"/>
      <c r="CI30" s="236"/>
      <c r="CJ30" s="236"/>
      <c r="CK30" s="12"/>
      <c r="CL30" s="13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3"/>
      <c r="CZ30" s="12"/>
      <c r="DA30" s="12"/>
      <c r="DB30" s="12"/>
      <c r="DC30" s="12"/>
      <c r="DD30" s="16"/>
      <c r="DE30" s="12"/>
      <c r="DF30" s="12"/>
      <c r="DG30" s="12"/>
      <c r="DH30" s="12"/>
      <c r="DI30" s="13"/>
      <c r="DJ30" s="12"/>
      <c r="DK30" s="12"/>
      <c r="DL30" s="12"/>
      <c r="DM30" s="12"/>
      <c r="DN30" s="16"/>
      <c r="DO30" s="12"/>
      <c r="DP30" s="12"/>
      <c r="DQ30" s="12"/>
      <c r="DR30" s="13"/>
      <c r="DS30" s="12"/>
      <c r="DT30" s="12"/>
      <c r="DU30" s="17"/>
      <c r="DV30" s="18"/>
      <c r="DW30" s="18"/>
      <c r="DX30" s="18"/>
      <c r="DY30" s="18"/>
      <c r="DZ30" s="12"/>
      <c r="EA30" s="12"/>
      <c r="EB30" s="12"/>
      <c r="EC30" s="12"/>
      <c r="ED30" s="12"/>
      <c r="EE30" s="13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3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3"/>
      <c r="FI30" s="12"/>
      <c r="FJ30" s="383">
        <f t="shared" si="78"/>
        <v>25</v>
      </c>
      <c r="FK30" s="384"/>
      <c r="FL30" s="882" t="s">
        <v>251</v>
      </c>
      <c r="FM30" s="880">
        <v>400444.33639999997</v>
      </c>
      <c r="FN30" s="880">
        <v>248442.43</v>
      </c>
      <c r="FO30" s="880">
        <v>370902.63</v>
      </c>
      <c r="FP30" s="881">
        <f t="shared" si="113"/>
        <v>1019789.3964</v>
      </c>
      <c r="FQ30" s="880">
        <v>400453.42730909091</v>
      </c>
      <c r="FR30" s="880">
        <v>248442.43000000002</v>
      </c>
      <c r="FS30" s="880">
        <v>370902.63</v>
      </c>
      <c r="FT30" s="880">
        <v>1019798.487309091</v>
      </c>
      <c r="FU30" s="955">
        <v>1019798.487309091</v>
      </c>
      <c r="FV30" s="16"/>
      <c r="FW30" s="266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3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3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3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3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3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445"/>
      <c r="JP30" s="446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446"/>
      <c r="KF30" s="445"/>
      <c r="KG30" s="446"/>
      <c r="KH30" s="189"/>
      <c r="KI30" s="189"/>
      <c r="KJ30" s="189"/>
      <c r="KK30" s="189"/>
      <c r="KL30" s="189"/>
      <c r="KM30" s="460"/>
      <c r="KN30" s="460"/>
      <c r="KO30" s="461"/>
      <c r="KP30" s="189"/>
      <c r="KQ30" s="461"/>
      <c r="KR30" s="12"/>
      <c r="KS30" s="12"/>
      <c r="KT30" s="12"/>
      <c r="KU30" s="12"/>
      <c r="KV30" s="12"/>
      <c r="KW30" s="12"/>
      <c r="KX30" s="16"/>
      <c r="KY30" s="12"/>
      <c r="KZ30" s="12"/>
      <c r="LA30" s="12"/>
      <c r="LB30" s="12"/>
      <c r="LC30" s="12"/>
      <c r="LD30" s="411"/>
      <c r="LE30" s="13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3"/>
      <c r="LT30" s="12"/>
      <c r="LU30" s="12"/>
      <c r="LV30" s="12"/>
      <c r="LW30" s="12"/>
      <c r="LX30" s="12"/>
      <c r="LY30" s="13"/>
      <c r="LZ30" s="12"/>
      <c r="MA30" s="222">
        <f t="shared" si="118"/>
        <v>24</v>
      </c>
      <c r="MB30" s="453" t="s">
        <v>252</v>
      </c>
      <c r="MC30" s="454">
        <f>MC28-MC29</f>
        <v>124413460.79289664</v>
      </c>
      <c r="MD30" s="455">
        <f>MC30/$MC$34*100</f>
        <v>5.7004432598326904</v>
      </c>
      <c r="ME30" s="307"/>
      <c r="MF30" s="456">
        <f>MF28-MF29</f>
        <v>124413460.79289664</v>
      </c>
      <c r="MG30" s="455">
        <f>MF30/$MC$34*100</f>
        <v>5.7004432598326904</v>
      </c>
      <c r="MH30" s="12"/>
      <c r="MI30" s="13"/>
      <c r="MJ30" s="12"/>
      <c r="MK30" s="222">
        <f t="shared" si="119"/>
        <v>24</v>
      </c>
      <c r="ML30" s="453" t="s">
        <v>252</v>
      </c>
      <c r="MM30" s="984">
        <v>107643578.11203304</v>
      </c>
      <c r="MN30" s="454">
        <f>MC30</f>
        <v>124413460.79289664</v>
      </c>
      <c r="MO30" s="309">
        <f t="shared" si="70"/>
        <v>16769882.680863604</v>
      </c>
      <c r="MP30" s="723">
        <f t="shared" si="71"/>
        <v>0.15579083281131628</v>
      </c>
      <c r="MQ30" s="12"/>
      <c r="MR30" s="13"/>
      <c r="MS30" s="12"/>
    </row>
    <row r="31" spans="1:357" ht="16.5" customHeight="1" x14ac:dyDescent="0.3"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AL31" s="299"/>
      <c r="AN31" s="379"/>
      <c r="AO31" s="380"/>
      <c r="AQ31" s="15"/>
      <c r="AT31" s="381"/>
      <c r="AU31" s="15"/>
      <c r="AW31" s="381"/>
      <c r="AX31" s="381"/>
      <c r="AY31" s="15"/>
      <c r="BA31" s="381"/>
      <c r="BB31" s="381"/>
      <c r="BC31" s="15"/>
      <c r="BE31" s="381"/>
      <c r="BF31" s="381"/>
      <c r="BG31" s="15"/>
      <c r="BI31" s="381"/>
      <c r="BJ31" s="381"/>
      <c r="BK31" s="15"/>
      <c r="BM31" s="381"/>
      <c r="BN31" s="381"/>
      <c r="BO31" s="15"/>
      <c r="BQ31" s="381"/>
      <c r="BR31" s="381"/>
      <c r="BS31" s="15"/>
      <c r="BU31" s="381"/>
      <c r="BV31" s="381"/>
      <c r="BW31" s="381"/>
      <c r="BX31" s="381"/>
      <c r="BY31" s="381"/>
      <c r="BZ31" s="381"/>
      <c r="CA31" s="381"/>
      <c r="CB31" s="381"/>
      <c r="CC31" s="381"/>
      <c r="CD31" s="381"/>
      <c r="CE31" s="381"/>
      <c r="CG31" s="381"/>
      <c r="CH31" s="381"/>
      <c r="CI31" s="381"/>
      <c r="CJ31" s="381"/>
      <c r="FJ31" s="293">
        <f t="shared" si="78"/>
        <v>26</v>
      </c>
      <c r="FK31" s="463"/>
      <c r="FL31" s="464" t="s">
        <v>221</v>
      </c>
      <c r="FM31" s="309">
        <f>SUM(FM26:FM30)</f>
        <v>969903.95640000002</v>
      </c>
      <c r="FN31" s="309">
        <f>SUM(FN26:FN30)</f>
        <v>452578.26999999996</v>
      </c>
      <c r="FO31" s="309">
        <f>SUM(FO26:FO30)</f>
        <v>812371.4</v>
      </c>
      <c r="FP31" s="325">
        <f t="shared" si="113"/>
        <v>2234853.6264</v>
      </c>
      <c r="FQ31" s="309">
        <v>910734.04730909085</v>
      </c>
      <c r="FR31" s="309">
        <v>399475.27</v>
      </c>
      <c r="FS31" s="309">
        <v>759919.4</v>
      </c>
      <c r="FT31" s="309">
        <v>2070128.717309091</v>
      </c>
      <c r="FU31" s="971">
        <v>2070128.717309091</v>
      </c>
      <c r="FV31" s="16"/>
      <c r="FW31" s="266"/>
      <c r="IK31" s="12"/>
      <c r="IM31" s="12"/>
      <c r="KO31" s="12"/>
      <c r="KQ31" s="12"/>
      <c r="KR31" s="12"/>
      <c r="LD31" s="411"/>
      <c r="MA31" s="192">
        <f t="shared" si="118"/>
        <v>25</v>
      </c>
      <c r="MB31" s="935" t="s">
        <v>253</v>
      </c>
      <c r="MC31" s="935">
        <f>'Actuals Phase I Schedules'!JV26+'Actuals Phase I Schedules'!JZ26+MC11</f>
        <v>113155729.87481624</v>
      </c>
      <c r="MD31" s="936">
        <f>MC31/$MC$34*100</f>
        <v>5.1846304536942283</v>
      </c>
      <c r="ME31" s="796"/>
      <c r="MF31" s="937"/>
      <c r="MG31" s="466"/>
      <c r="MK31" s="312">
        <f>MK30+1</f>
        <v>25</v>
      </c>
      <c r="ML31" s="935" t="str">
        <f>MB31</f>
        <v>Total Revenue at Current Rates</v>
      </c>
      <c r="MM31" s="980">
        <v>136637688.37609816</v>
      </c>
      <c r="MN31" s="935">
        <f>MC31</f>
        <v>113155729.87481624</v>
      </c>
      <c r="MO31" s="935">
        <f t="shared" si="70"/>
        <v>-23481958.501281917</v>
      </c>
      <c r="MP31" s="944">
        <f t="shared" si="71"/>
        <v>-0.17185564817700461</v>
      </c>
    </row>
    <row r="32" spans="1:357" ht="16.5" x14ac:dyDescent="0.3"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AL32" s="299"/>
      <c r="AN32" s="287"/>
      <c r="AT32" s="467"/>
      <c r="AW32" s="467"/>
      <c r="AX32" s="236"/>
      <c r="BA32" s="467"/>
      <c r="BB32" s="236"/>
      <c r="BE32" s="467"/>
      <c r="BF32" s="236"/>
      <c r="BI32" s="467"/>
      <c r="BJ32" s="236"/>
      <c r="BM32" s="467"/>
      <c r="BN32" s="236"/>
      <c r="BQ32" s="467"/>
      <c r="BR32" s="236"/>
      <c r="BU32" s="467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G32" s="467"/>
      <c r="CH32" s="236"/>
      <c r="CI32" s="236"/>
      <c r="CJ32" s="236"/>
      <c r="FJ32" s="383">
        <f t="shared" si="78"/>
        <v>27</v>
      </c>
      <c r="FK32" s="468" t="s">
        <v>254</v>
      </c>
      <c r="FL32" s="469"/>
      <c r="FM32" s="470"/>
      <c r="FN32" s="470"/>
      <c r="FO32" s="470"/>
      <c r="FP32" s="471"/>
      <c r="FQ32" s="470"/>
      <c r="FR32" s="470"/>
      <c r="FS32" s="470"/>
      <c r="FT32" s="470"/>
      <c r="FU32" s="470"/>
      <c r="FV32" s="16"/>
      <c r="FW32" s="266"/>
      <c r="IK32" s="12"/>
      <c r="IM32" s="12"/>
      <c r="JP32" s="189"/>
      <c r="KE32" s="189"/>
      <c r="KF32" s="472"/>
      <c r="KG32" s="189"/>
      <c r="KO32" s="12"/>
      <c r="KQ32" s="12"/>
      <c r="KR32" s="12"/>
      <c r="LD32" s="236"/>
      <c r="MA32" s="293">
        <f>MA31+1</f>
        <v>26</v>
      </c>
      <c r="MB32" s="938" t="s">
        <v>255</v>
      </c>
      <c r="MC32" s="938">
        <f>MC30/MC9-1</f>
        <v>0.1512114027739575</v>
      </c>
      <c r="MD32" s="938"/>
      <c r="ME32" s="839"/>
      <c r="MF32" s="939">
        <f>(MF9)/MF30-1</f>
        <v>0</v>
      </c>
      <c r="MG32" s="473"/>
      <c r="MK32" s="293">
        <f t="shared" si="119"/>
        <v>26</v>
      </c>
      <c r="ML32" s="938" t="str">
        <f>MB32</f>
        <v>Proposed Rate Increase</v>
      </c>
      <c r="MM32" s="985">
        <v>-0.18249978315112159</v>
      </c>
      <c r="MN32" s="938">
        <f>MC32</f>
        <v>0.1512114027739575</v>
      </c>
      <c r="MO32" s="938">
        <f t="shared" si="70"/>
        <v>0.33371118592507909</v>
      </c>
      <c r="MP32" s="474"/>
    </row>
    <row r="33" spans="2:354" ht="17.100000000000001" customHeight="1" x14ac:dyDescent="0.3"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AL33" s="299"/>
      <c r="AN33" s="287"/>
      <c r="AT33" s="467"/>
      <c r="AW33" s="467"/>
      <c r="AX33" s="236"/>
      <c r="BA33" s="467"/>
      <c r="BB33" s="236"/>
      <c r="BE33" s="467"/>
      <c r="BF33" s="236"/>
      <c r="BI33" s="467"/>
      <c r="BJ33" s="236"/>
      <c r="BM33" s="467"/>
      <c r="BN33" s="236"/>
      <c r="BQ33" s="467"/>
      <c r="BR33" s="236"/>
      <c r="BU33" s="467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G33" s="467"/>
      <c r="CH33" s="236"/>
      <c r="CI33" s="236"/>
      <c r="CJ33" s="236"/>
      <c r="EE33" s="475"/>
      <c r="FJ33" s="222">
        <f t="shared" si="78"/>
        <v>28</v>
      </c>
      <c r="FK33" s="242"/>
      <c r="FL33" s="877" t="s">
        <v>256</v>
      </c>
      <c r="FM33" s="650">
        <v>33261.31</v>
      </c>
      <c r="FN33" s="650">
        <v>184151.55</v>
      </c>
      <c r="FO33" s="650">
        <v>509378.34</v>
      </c>
      <c r="FP33" s="794">
        <f>FM33+FO33+FN33</f>
        <v>726791.2</v>
      </c>
      <c r="FQ33" s="650">
        <v>33261.31</v>
      </c>
      <c r="FR33" s="650">
        <v>184151.55</v>
      </c>
      <c r="FS33" s="650">
        <v>509378.34</v>
      </c>
      <c r="FT33" s="650">
        <v>726791.2</v>
      </c>
      <c r="FU33" s="955">
        <v>726791.2</v>
      </c>
      <c r="FW33" s="266"/>
      <c r="IK33" s="12"/>
      <c r="IM33" s="12"/>
      <c r="JO33" s="476"/>
      <c r="JP33" s="477"/>
      <c r="KE33" s="477"/>
      <c r="KF33" s="476"/>
      <c r="KG33" s="477"/>
      <c r="KO33" s="12"/>
      <c r="KQ33" s="12"/>
      <c r="KR33" s="12"/>
      <c r="MA33" s="341" t="s">
        <v>223</v>
      </c>
      <c r="MB33" s="341"/>
      <c r="MC33" s="341"/>
      <c r="MD33" s="341"/>
      <c r="ME33" s="341"/>
      <c r="MF33" s="341"/>
      <c r="MG33" s="341"/>
      <c r="MK33" s="341" t="s">
        <v>223</v>
      </c>
      <c r="ML33" s="298"/>
      <c r="MM33" s="298"/>
      <c r="MN33" s="298"/>
      <c r="MO33" s="478"/>
      <c r="MP33" s="478"/>
    </row>
    <row r="34" spans="2:354" ht="17.850000000000001" customHeight="1" x14ac:dyDescent="0.3"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AL34" s="299"/>
      <c r="AN34" s="287"/>
      <c r="AT34" s="467"/>
      <c r="AW34" s="467"/>
      <c r="AX34" s="236"/>
      <c r="BA34" s="467"/>
      <c r="BB34" s="236"/>
      <c r="BE34" s="467"/>
      <c r="BF34" s="236"/>
      <c r="BI34" s="467"/>
      <c r="BJ34" s="236"/>
      <c r="BM34" s="467"/>
      <c r="BN34" s="236"/>
      <c r="BQ34" s="467"/>
      <c r="BR34" s="236"/>
      <c r="BU34" s="467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G34" s="467"/>
      <c r="CH34" s="236"/>
      <c r="CI34" s="236"/>
      <c r="CJ34" s="236"/>
      <c r="FJ34" s="383">
        <f t="shared" si="78"/>
        <v>29</v>
      </c>
      <c r="FK34" s="384"/>
      <c r="FL34" s="882" t="s">
        <v>257</v>
      </c>
      <c r="FM34" s="880">
        <v>42818</v>
      </c>
      <c r="FN34" s="880">
        <v>398970.26</v>
      </c>
      <c r="FO34" s="880">
        <v>550411.94579999999</v>
      </c>
      <c r="FP34" s="881">
        <f>FM34+FO34+FN34</f>
        <v>992200.2058</v>
      </c>
      <c r="FQ34" s="880">
        <v>42518</v>
      </c>
      <c r="FR34" s="880">
        <v>398970.26</v>
      </c>
      <c r="FS34" s="880">
        <v>550411.94579999999</v>
      </c>
      <c r="FT34" s="880">
        <v>991900.2058</v>
      </c>
      <c r="FU34" s="955">
        <v>991900.2058</v>
      </c>
      <c r="FV34" s="16"/>
      <c r="FW34" s="266"/>
      <c r="IK34" s="12"/>
      <c r="IM34" s="12"/>
      <c r="JO34" s="57"/>
      <c r="JP34" s="24"/>
      <c r="KE34" s="24"/>
      <c r="KF34" s="25"/>
      <c r="KG34" s="24"/>
      <c r="KO34" s="12"/>
      <c r="KQ34" s="12"/>
      <c r="KR34" s="12"/>
      <c r="MA34" s="192">
        <f>MA32+1</f>
        <v>27</v>
      </c>
      <c r="MB34" s="479" t="s">
        <v>118</v>
      </c>
      <c r="MC34" s="1054">
        <f>JI26</f>
        <v>2182522571</v>
      </c>
      <c r="MD34" s="1054"/>
      <c r="ME34" s="480"/>
      <c r="MF34" s="481"/>
      <c r="MG34" s="480">
        <f>MC34</f>
        <v>2182522571</v>
      </c>
      <c r="MK34" s="192">
        <f>MK32+1</f>
        <v>27</v>
      </c>
      <c r="ML34" s="479" t="str">
        <f>MB34</f>
        <v>Target Year Volume</v>
      </c>
      <c r="MM34" s="482">
        <v>2172816411.6368828</v>
      </c>
      <c r="MN34" s="480">
        <f>MC34</f>
        <v>2182522571</v>
      </c>
      <c r="MO34" s="480">
        <f t="shared" ref="MO34" si="123">MN34-MM34</f>
        <v>9706159.363117218</v>
      </c>
      <c r="MP34" s="946">
        <f t="shared" ref="MP34:MP35" si="124">MO34/MM34</f>
        <v>4.4670867318261469E-3</v>
      </c>
    </row>
    <row r="35" spans="2:354" ht="17.25" thickBot="1" x14ac:dyDescent="0.35"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AL35" s="299"/>
      <c r="AN35" s="287"/>
      <c r="AT35" s="467"/>
      <c r="AW35" s="467"/>
      <c r="AX35" s="236"/>
      <c r="BA35" s="467"/>
      <c r="BB35" s="236"/>
      <c r="BE35" s="467"/>
      <c r="BF35" s="236"/>
      <c r="BI35" s="467"/>
      <c r="BJ35" s="236"/>
      <c r="BM35" s="467"/>
      <c r="BN35" s="236"/>
      <c r="BQ35" s="467"/>
      <c r="BR35" s="236"/>
      <c r="BU35" s="467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G35" s="467"/>
      <c r="CH35" s="236"/>
      <c r="CI35" s="236"/>
      <c r="CJ35" s="236"/>
      <c r="FJ35" s="297">
        <f t="shared" si="78"/>
        <v>30</v>
      </c>
      <c r="FK35" s="483"/>
      <c r="FL35" s="484" t="s">
        <v>221</v>
      </c>
      <c r="FM35" s="309">
        <f>SUM(FM33:FM34)</f>
        <v>76079.31</v>
      </c>
      <c r="FN35" s="309">
        <f>SUM(FN33:FN34)</f>
        <v>583121.81000000006</v>
      </c>
      <c r="FO35" s="309">
        <f>SUM(FO33:FO34)</f>
        <v>1059790.2858</v>
      </c>
      <c r="FP35" s="325">
        <f>FM35+FO35+FN35</f>
        <v>1718991.4058000001</v>
      </c>
      <c r="FQ35" s="309">
        <v>75779.31</v>
      </c>
      <c r="FR35" s="309">
        <v>583121.81000000006</v>
      </c>
      <c r="FS35" s="309">
        <v>1059790.2858</v>
      </c>
      <c r="FT35" s="309">
        <v>1718691.4057999998</v>
      </c>
      <c r="FU35" s="971">
        <v>1718691.4057999998</v>
      </c>
      <c r="FW35" s="266"/>
      <c r="IK35" s="12"/>
      <c r="IM35" s="12"/>
      <c r="JP35" s="189"/>
      <c r="KE35" s="189"/>
      <c r="KF35" s="472"/>
      <c r="KG35" s="189"/>
      <c r="KO35" s="12"/>
      <c r="KQ35" s="12"/>
      <c r="KR35" s="12"/>
      <c r="MA35" s="274">
        <f>MA34+1</f>
        <v>28</v>
      </c>
      <c r="MB35" s="486" t="s">
        <v>230</v>
      </c>
      <c r="MC35" s="1050">
        <f>JG26</f>
        <v>219</v>
      </c>
      <c r="MD35" s="1050"/>
      <c r="ME35" s="487"/>
      <c r="MF35" s="488"/>
      <c r="MG35" s="487">
        <f>MC35</f>
        <v>219</v>
      </c>
      <c r="MK35" s="274">
        <f>MK34+1</f>
        <v>28</v>
      </c>
      <c r="ML35" s="486" t="str">
        <f>MB35</f>
        <v>Number of Depots</v>
      </c>
      <c r="MM35" s="489">
        <v>221</v>
      </c>
      <c r="MN35" s="487">
        <f>MC35</f>
        <v>219</v>
      </c>
      <c r="MO35" s="490">
        <f>MN35-MM35</f>
        <v>-2</v>
      </c>
      <c r="MP35" s="947">
        <f t="shared" si="124"/>
        <v>-9.0497737556561094E-3</v>
      </c>
    </row>
    <row r="36" spans="2:354" ht="17.25" thickBot="1" x14ac:dyDescent="0.35"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AN36" s="379"/>
      <c r="FJ36" s="491">
        <f t="shared" si="78"/>
        <v>31</v>
      </c>
      <c r="FK36" s="492"/>
      <c r="FL36" s="493" t="s">
        <v>71</v>
      </c>
      <c r="FM36" s="494">
        <f>FM20+FM24+FM31+FM35</f>
        <v>2645170.5619999999</v>
      </c>
      <c r="FN36" s="494">
        <f>FN20+FN24+FN31+FN35</f>
        <v>3815523.84485</v>
      </c>
      <c r="FO36" s="494">
        <f>FO20+FO24+FO31+FO35</f>
        <v>5940057.9059100002</v>
      </c>
      <c r="FP36" s="495">
        <f>FM36+FO36+FN36</f>
        <v>12400752.312759999</v>
      </c>
      <c r="FQ36" s="494">
        <v>2543957.5453704544</v>
      </c>
      <c r="FR36" s="494">
        <v>3606846.8748500003</v>
      </c>
      <c r="FS36" s="494">
        <v>5884447.3059099996</v>
      </c>
      <c r="FT36" s="494">
        <v>12035251.726130454</v>
      </c>
      <c r="FU36" s="972">
        <v>12035251.726130454</v>
      </c>
      <c r="FW36" s="266"/>
      <c r="IK36" s="12"/>
      <c r="IM36" s="12"/>
      <c r="JO36" s="496"/>
      <c r="JP36" s="485"/>
      <c r="JQ36" s="485"/>
      <c r="JR36" s="485"/>
      <c r="JS36" s="485"/>
      <c r="JT36" s="485"/>
      <c r="JU36" s="485"/>
      <c r="JW36" s="446"/>
      <c r="JX36" s="446"/>
      <c r="JY36" s="446"/>
      <c r="JZ36" s="446"/>
      <c r="KA36" s="446"/>
      <c r="KB36" s="446"/>
      <c r="KC36" s="485"/>
      <c r="KD36" s="485"/>
      <c r="KE36" s="485"/>
      <c r="KF36" s="497"/>
      <c r="KG36" s="485"/>
      <c r="KO36" s="12"/>
      <c r="KQ36" s="12"/>
      <c r="KR36" s="12"/>
      <c r="MA36" s="12"/>
      <c r="MB36" s="190" t="s">
        <v>451</v>
      </c>
    </row>
    <row r="37" spans="2:354" ht="15.75" customHeight="1" x14ac:dyDescent="0.3"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AL37" s="299"/>
      <c r="AN37" s="287"/>
      <c r="AP37" s="498"/>
      <c r="AQ37" s="15"/>
      <c r="AT37" s="211"/>
      <c r="AV37" s="499"/>
      <c r="AW37" s="211"/>
      <c r="AX37" s="236"/>
      <c r="AZ37" s="499"/>
      <c r="BA37" s="211"/>
      <c r="BB37" s="236"/>
      <c r="BD37" s="499"/>
      <c r="BE37" s="211"/>
      <c r="BF37" s="236"/>
      <c r="BH37" s="499"/>
      <c r="BI37" s="211"/>
      <c r="BJ37" s="236"/>
      <c r="BL37" s="499"/>
      <c r="BM37" s="211"/>
      <c r="BN37" s="236"/>
      <c r="BP37" s="499"/>
      <c r="BQ37" s="211"/>
      <c r="BR37" s="236"/>
      <c r="BT37" s="499"/>
      <c r="BU37" s="211"/>
      <c r="BV37" s="236"/>
      <c r="BW37" s="236"/>
      <c r="BX37" s="236"/>
      <c r="BY37" s="236"/>
      <c r="BZ37" s="236"/>
      <c r="CA37" s="236"/>
      <c r="CB37" s="236"/>
      <c r="CC37" s="236"/>
      <c r="CD37" s="236"/>
      <c r="CE37" s="236"/>
      <c r="CF37" s="499"/>
      <c r="CG37" s="211"/>
      <c r="CH37" s="236"/>
      <c r="CI37" s="236"/>
      <c r="CJ37" s="236"/>
      <c r="IK37" s="12"/>
      <c r="IM37" s="12"/>
      <c r="JO37" s="496"/>
      <c r="JP37" s="485"/>
      <c r="JQ37" s="485"/>
      <c r="JR37" s="485"/>
      <c r="JS37" s="485"/>
      <c r="JT37" s="485"/>
      <c r="JU37" s="485"/>
      <c r="JW37" s="446"/>
      <c r="JX37" s="446"/>
      <c r="JY37" s="446"/>
      <c r="JZ37" s="446"/>
      <c r="KA37" s="446"/>
      <c r="KB37" s="446"/>
      <c r="KC37" s="485"/>
      <c r="KD37" s="485"/>
      <c r="KE37" s="485"/>
      <c r="KF37" s="497"/>
      <c r="KG37" s="485"/>
      <c r="KO37" s="12"/>
      <c r="KQ37" s="12"/>
      <c r="KR37" s="12"/>
      <c r="MA37" s="12"/>
      <c r="MB37" s="194" t="s">
        <v>232</v>
      </c>
      <c r="MC37" s="320">
        <v>19960070.068912446</v>
      </c>
      <c r="MD37" s="331">
        <v>0.91454128970437332</v>
      </c>
    </row>
    <row r="38" spans="2:354" ht="16.5" x14ac:dyDescent="0.3"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AL38" s="299"/>
      <c r="AN38" s="287"/>
      <c r="AQ38" s="15"/>
      <c r="BU38" s="232"/>
      <c r="CG38" s="232"/>
      <c r="FW38" s="266"/>
      <c r="IK38" s="12"/>
      <c r="IM38" s="12"/>
      <c r="JO38" s="496"/>
      <c r="JP38" s="485"/>
      <c r="JQ38" s="485"/>
      <c r="JR38" s="485"/>
      <c r="JS38" s="485"/>
      <c r="JT38" s="485"/>
      <c r="JU38" s="485"/>
      <c r="JW38" s="446"/>
      <c r="JX38" s="446"/>
      <c r="JY38" s="446"/>
      <c r="JZ38" s="446"/>
      <c r="KA38" s="446"/>
      <c r="KB38" s="446"/>
      <c r="KC38" s="485"/>
      <c r="KD38" s="485"/>
      <c r="KE38" s="485"/>
      <c r="KF38" s="497"/>
      <c r="KG38" s="485"/>
      <c r="KO38" s="12"/>
      <c r="KQ38" s="12"/>
      <c r="KR38" s="12"/>
      <c r="MA38" s="12"/>
      <c r="MB38" s="816" t="s">
        <v>233</v>
      </c>
      <c r="MC38" s="932">
        <v>5.390000000000017E-2</v>
      </c>
      <c r="MD38" s="930"/>
    </row>
    <row r="39" spans="2:354" ht="16.5" x14ac:dyDescent="0.3"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IK39" s="12"/>
      <c r="IM39" s="12"/>
      <c r="JO39" s="496"/>
      <c r="JP39" s="485"/>
      <c r="JQ39" s="485"/>
      <c r="JR39" s="485"/>
      <c r="JS39" s="485"/>
      <c r="JT39" s="485"/>
      <c r="JU39" s="485"/>
      <c r="JW39" s="446"/>
      <c r="JX39" s="446"/>
      <c r="JY39" s="446"/>
      <c r="JZ39" s="446"/>
      <c r="KA39" s="446"/>
      <c r="KB39" s="446"/>
      <c r="KC39" s="485"/>
      <c r="KD39" s="485"/>
      <c r="KE39" s="485"/>
      <c r="KF39" s="497"/>
      <c r="KG39" s="485"/>
      <c r="KO39" s="12"/>
      <c r="KQ39" s="12"/>
      <c r="KR39" s="12"/>
      <c r="LK39" s="500"/>
      <c r="LL39" s="500"/>
      <c r="LM39" s="500"/>
      <c r="LN39" s="500"/>
      <c r="MA39" s="12"/>
      <c r="MB39" s="375" t="s">
        <v>236</v>
      </c>
      <c r="MC39" s="376">
        <v>129163059.59289664</v>
      </c>
      <c r="MD39" s="377">
        <v>5.9180629473955912</v>
      </c>
      <c r="MF39" s="1004"/>
    </row>
    <row r="40" spans="2:354" ht="16.5" x14ac:dyDescent="0.3"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AL40" s="299"/>
      <c r="IK40" s="12"/>
      <c r="IM40" s="12"/>
      <c r="JW40" s="446"/>
      <c r="JX40" s="446"/>
      <c r="JY40" s="446"/>
      <c r="JZ40" s="446"/>
      <c r="KA40" s="446"/>
      <c r="KB40" s="446"/>
      <c r="KO40" s="12"/>
      <c r="KQ40" s="12"/>
      <c r="KR40" s="12"/>
      <c r="LK40" s="500"/>
      <c r="LL40" s="500"/>
      <c r="LM40" s="500"/>
      <c r="LN40" s="500"/>
      <c r="MA40" s="12"/>
      <c r="MB40" s="650" t="s">
        <v>239</v>
      </c>
      <c r="MC40" s="650">
        <v>0</v>
      </c>
      <c r="MD40" s="747">
        <v>0</v>
      </c>
      <c r="MF40" s="1004"/>
    </row>
    <row r="41" spans="2:354" ht="16.5" x14ac:dyDescent="0.3"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AL41" s="502"/>
      <c r="IK41" s="12"/>
      <c r="IM41" s="12"/>
      <c r="JW41" s="446"/>
      <c r="JX41" s="446"/>
      <c r="JY41" s="446"/>
      <c r="JZ41" s="446"/>
      <c r="KA41" s="446"/>
      <c r="KB41" s="446"/>
      <c r="KO41" s="12"/>
      <c r="KQ41" s="12"/>
      <c r="KR41" s="12"/>
      <c r="LK41" s="500"/>
      <c r="LL41" s="503"/>
      <c r="LM41" s="504"/>
      <c r="LN41" s="505"/>
      <c r="MA41" s="12"/>
      <c r="MB41" s="935" t="s">
        <v>244</v>
      </c>
      <c r="MC41" s="935">
        <v>0</v>
      </c>
      <c r="MD41" s="936">
        <v>0</v>
      </c>
      <c r="MF41" s="1004"/>
    </row>
    <row r="42" spans="2:354" ht="16.5" x14ac:dyDescent="0.3"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AL42" s="299"/>
      <c r="IK42" s="12"/>
      <c r="IM42" s="12"/>
      <c r="JW42" s="446"/>
      <c r="JX42" s="446"/>
      <c r="JY42" s="446"/>
      <c r="JZ42" s="446"/>
      <c r="KA42" s="446"/>
      <c r="KB42" s="446"/>
      <c r="KO42" s="12"/>
      <c r="KQ42" s="12"/>
      <c r="KR42" s="12"/>
      <c r="LK42" s="500"/>
      <c r="LL42" s="504"/>
      <c r="LM42" s="504"/>
      <c r="LN42" s="505"/>
      <c r="MA42" s="12"/>
      <c r="MB42" s="453" t="s">
        <v>247</v>
      </c>
      <c r="MC42" s="454">
        <v>129163059.59289664</v>
      </c>
      <c r="MD42" s="455">
        <v>5.9180629473955912</v>
      </c>
      <c r="MF42" s="1004"/>
    </row>
    <row r="43" spans="2:354" ht="16.5" x14ac:dyDescent="0.3"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IK43" s="12"/>
      <c r="IM43" s="12"/>
      <c r="JW43" s="446"/>
      <c r="JX43" s="446"/>
      <c r="JY43" s="446"/>
      <c r="JZ43" s="446"/>
      <c r="KA43" s="446"/>
      <c r="KB43" s="446"/>
      <c r="KO43" s="12"/>
      <c r="KQ43" s="12"/>
      <c r="KR43" s="12"/>
      <c r="LK43" s="500"/>
      <c r="LL43" s="503"/>
      <c r="LM43" s="503"/>
      <c r="LN43" s="505"/>
      <c r="MA43" s="12"/>
      <c r="MB43" s="291" t="s">
        <v>250</v>
      </c>
      <c r="MC43" s="458">
        <v>4749598.8</v>
      </c>
      <c r="MD43" s="331">
        <v>0.21761968756290126</v>
      </c>
      <c r="MF43" s="1004"/>
    </row>
    <row r="44" spans="2:354" ht="16.5" x14ac:dyDescent="0.3">
      <c r="B44" s="462"/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IK44" s="12"/>
      <c r="IM44" s="12"/>
      <c r="JW44" s="446"/>
      <c r="JX44" s="446"/>
      <c r="JY44" s="446"/>
      <c r="JZ44" s="446"/>
      <c r="KA44" s="446"/>
      <c r="KB44" s="446"/>
      <c r="KO44" s="12"/>
      <c r="KQ44" s="12"/>
      <c r="KR44" s="12"/>
      <c r="LK44" s="500"/>
      <c r="LL44" s="500"/>
      <c r="LM44" s="500"/>
      <c r="LN44" s="505"/>
      <c r="MA44" s="12"/>
      <c r="MB44" s="453" t="s">
        <v>252</v>
      </c>
      <c r="MC44" s="454">
        <v>124413460.79289664</v>
      </c>
      <c r="MD44" s="455">
        <v>5.7004432598326904</v>
      </c>
      <c r="MF44" s="1004"/>
      <c r="ML44" s="32"/>
    </row>
    <row r="45" spans="2:354" ht="16.5" x14ac:dyDescent="0.3">
      <c r="IK45" s="12"/>
      <c r="IM45" s="12"/>
      <c r="JW45" s="446"/>
      <c r="JX45" s="446"/>
      <c r="JY45" s="446"/>
      <c r="JZ45" s="446"/>
      <c r="KA45" s="446"/>
      <c r="KB45" s="446"/>
      <c r="KO45" s="12"/>
      <c r="KQ45" s="12"/>
      <c r="KR45" s="12"/>
      <c r="LK45" s="500"/>
      <c r="LL45" s="500"/>
      <c r="LM45" s="500"/>
      <c r="LN45" s="500"/>
      <c r="MA45" s="12"/>
      <c r="MB45" s="935" t="s">
        <v>253</v>
      </c>
      <c r="MC45" s="935">
        <v>113155729.87481624</v>
      </c>
      <c r="MD45" s="936">
        <v>5.1846304536942283</v>
      </c>
      <c r="MF45" s="1004"/>
    </row>
    <row r="46" spans="2:354" ht="16.5" x14ac:dyDescent="0.3">
      <c r="IK46" s="12"/>
      <c r="IM46" s="12"/>
      <c r="JW46" s="446"/>
      <c r="JX46" s="446"/>
      <c r="JY46" s="446"/>
      <c r="JZ46" s="446"/>
      <c r="KA46" s="446"/>
      <c r="KB46" s="446"/>
      <c r="KO46" s="12"/>
      <c r="KQ46" s="12"/>
      <c r="KR46" s="12"/>
      <c r="MA46" s="12"/>
      <c r="MB46" s="938" t="s">
        <v>255</v>
      </c>
      <c r="MC46" s="978">
        <v>0.1512114027739575</v>
      </c>
      <c r="MD46" s="938"/>
      <c r="ML46" s="32"/>
    </row>
    <row r="47" spans="2:354" x14ac:dyDescent="0.25">
      <c r="IK47" s="12"/>
      <c r="IM47" s="12"/>
      <c r="JW47" s="446"/>
      <c r="JX47" s="446"/>
      <c r="JY47" s="446"/>
      <c r="JZ47" s="446"/>
      <c r="KA47" s="446"/>
      <c r="KB47" s="446"/>
      <c r="KO47" s="12"/>
      <c r="KQ47" s="12"/>
      <c r="KR47" s="12"/>
      <c r="MB47" s="12"/>
      <c r="MM47" s="411"/>
    </row>
    <row r="48" spans="2:354" x14ac:dyDescent="0.25">
      <c r="IK48" s="12"/>
      <c r="IM48" s="12"/>
      <c r="JW48" s="446"/>
      <c r="JX48" s="446"/>
      <c r="JY48" s="446"/>
      <c r="JZ48" s="446"/>
      <c r="KA48" s="446"/>
      <c r="KB48" s="446"/>
      <c r="KR48" s="12"/>
      <c r="MB48" s="190" t="s">
        <v>445</v>
      </c>
      <c r="MC48" s="355">
        <f>MC39-MC28</f>
        <v>0</v>
      </c>
      <c r="MK48" s="8"/>
      <c r="MM48" s="411"/>
    </row>
    <row r="49" spans="245:357" x14ac:dyDescent="0.25">
      <c r="IK49" s="12"/>
      <c r="IM49" s="12"/>
      <c r="JW49" s="446"/>
      <c r="JX49" s="446"/>
      <c r="JY49" s="446"/>
      <c r="JZ49" s="446"/>
      <c r="KA49" s="446"/>
      <c r="KB49" s="446"/>
      <c r="KR49" s="12"/>
      <c r="MB49" s="12"/>
      <c r="MM49" s="411"/>
    </row>
    <row r="50" spans="245:357" x14ac:dyDescent="0.25">
      <c r="JW50" s="446"/>
      <c r="JX50" s="446"/>
      <c r="KR50" s="12"/>
      <c r="LS50" s="221"/>
      <c r="LT50" s="8"/>
      <c r="LX50" s="8"/>
      <c r="LY50" s="221"/>
      <c r="LZ50" s="8"/>
      <c r="MC50" s="507"/>
      <c r="MD50" s="508"/>
      <c r="MK50" s="8"/>
      <c r="MM50" s="411"/>
      <c r="MR50" s="221"/>
      <c r="MS50" s="8"/>
    </row>
    <row r="51" spans="245:357" x14ac:dyDescent="0.25">
      <c r="KR51" s="12"/>
      <c r="LU51" s="8"/>
      <c r="LV51" s="8"/>
      <c r="LW51" s="8"/>
      <c r="MC51" s="230"/>
      <c r="MD51" s="506"/>
      <c r="MJ51" s="8"/>
    </row>
    <row r="52" spans="245:357" x14ac:dyDescent="0.25">
      <c r="KR52" s="12"/>
      <c r="LS52" s="221"/>
      <c r="LT52" s="8"/>
      <c r="LX52" s="8"/>
      <c r="LY52" s="221"/>
      <c r="LZ52" s="8"/>
      <c r="MC52" s="507"/>
      <c r="MD52" s="508"/>
      <c r="MI52" s="221"/>
      <c r="MR52" s="221"/>
      <c r="MS52" s="8"/>
    </row>
    <row r="53" spans="245:357" x14ac:dyDescent="0.25">
      <c r="KR53" s="12"/>
      <c r="LU53" s="8"/>
      <c r="LV53" s="8"/>
      <c r="LW53" s="8"/>
      <c r="MC53" s="230"/>
      <c r="MD53" s="506"/>
      <c r="MJ53" s="8"/>
    </row>
    <row r="54" spans="245:357" x14ac:dyDescent="0.25">
      <c r="KS54" s="204"/>
      <c r="MC54" s="230"/>
      <c r="MD54" s="506"/>
      <c r="MI54" s="221"/>
    </row>
  </sheetData>
  <mergeCells count="106">
    <mergeCell ref="F25:G25"/>
    <mergeCell ref="H25:J25"/>
    <mergeCell ref="K25:M25"/>
    <mergeCell ref="N25:P25"/>
    <mergeCell ref="MC34:MD34"/>
    <mergeCell ref="MC35:MD35"/>
    <mergeCell ref="BT22:BV22"/>
    <mergeCell ref="BT23:BV23"/>
    <mergeCell ref="F24:G24"/>
    <mergeCell ref="H24:J24"/>
    <mergeCell ref="K24:M24"/>
    <mergeCell ref="N24:P24"/>
    <mergeCell ref="LI3:LK3"/>
    <mergeCell ref="LL3:LN3"/>
    <mergeCell ref="LO3:LQ3"/>
    <mergeCell ref="MC4:MD4"/>
    <mergeCell ref="MF4:MG4"/>
    <mergeCell ref="AN21:CJ21"/>
    <mergeCell ref="KR3:KS3"/>
    <mergeCell ref="KT3:KU3"/>
    <mergeCell ref="KV3:KW3"/>
    <mergeCell ref="KX3:KY3"/>
    <mergeCell ref="KZ3:LA3"/>
    <mergeCell ref="LB3:LC3"/>
    <mergeCell ref="JY3:JZ3"/>
    <mergeCell ref="KA3:KB3"/>
    <mergeCell ref="KC3:KD3"/>
    <mergeCell ref="KL3:KM3"/>
    <mergeCell ref="KN3:KO3"/>
    <mergeCell ref="KP3:KQ3"/>
    <mergeCell ref="IR3:IS3"/>
    <mergeCell ref="IT3:IU3"/>
    <mergeCell ref="IV3:IW3"/>
    <mergeCell ref="IX3:IZ3"/>
    <mergeCell ref="JU3:JV3"/>
    <mergeCell ref="JW3:JX3"/>
    <mergeCell ref="HY3:HZ3"/>
    <mergeCell ref="IH3:II3"/>
    <mergeCell ref="IJ3:IK3"/>
    <mergeCell ref="IL3:IM3"/>
    <mergeCell ref="IN3:IO3"/>
    <mergeCell ref="IP3:IQ3"/>
    <mergeCell ref="GN3:GQ3"/>
    <mergeCell ref="GR3:GU3"/>
    <mergeCell ref="HQ3:HR3"/>
    <mergeCell ref="HS3:HT3"/>
    <mergeCell ref="HU3:HV3"/>
    <mergeCell ref="HW3:HX3"/>
    <mergeCell ref="EZ3:FC3"/>
    <mergeCell ref="FD3:FF3"/>
    <mergeCell ref="FM3:FP3"/>
    <mergeCell ref="FQ3:FU3"/>
    <mergeCell ref="GA3:GD3"/>
    <mergeCell ref="GE3:GH3"/>
    <mergeCell ref="DO3:DP3"/>
    <mergeCell ref="DV3:DY3"/>
    <mergeCell ref="DZ3:EC3"/>
    <mergeCell ref="EI3:EL3"/>
    <mergeCell ref="EM3:EP3"/>
    <mergeCell ref="EV3:EY3"/>
    <mergeCell ref="CI3:CJ3"/>
    <mergeCell ref="CP3:CS3"/>
    <mergeCell ref="CT3:CW3"/>
    <mergeCell ref="DC3:DD3"/>
    <mergeCell ref="DE3:DG3"/>
    <mergeCell ref="DM3:DN3"/>
    <mergeCell ref="BP3:BR3"/>
    <mergeCell ref="BT3:BV3"/>
    <mergeCell ref="BW3:BY3"/>
    <mergeCell ref="BZ3:CB3"/>
    <mergeCell ref="CC3:CE3"/>
    <mergeCell ref="CF3:CH3"/>
    <mergeCell ref="AS3:AT3"/>
    <mergeCell ref="AV3:AX3"/>
    <mergeCell ref="AZ3:BB3"/>
    <mergeCell ref="BD3:BF3"/>
    <mergeCell ref="BH3:BJ3"/>
    <mergeCell ref="BL3:BN3"/>
    <mergeCell ref="KH1:LC2"/>
    <mergeCell ref="LG1:LQ2"/>
    <mergeCell ref="LU1:LW2"/>
    <mergeCell ref="MA1:MG2"/>
    <mergeCell ref="MK1:MP2"/>
    <mergeCell ref="F3:G3"/>
    <mergeCell ref="H3:J3"/>
    <mergeCell ref="K3:M3"/>
    <mergeCell ref="N3:P3"/>
    <mergeCell ref="Q3:R3"/>
    <mergeCell ref="GK1:GV1"/>
    <mergeCell ref="GY1:HJ2"/>
    <mergeCell ref="HN1:HZ2"/>
    <mergeCell ref="ID1:IZ2"/>
    <mergeCell ref="JD1:JM2"/>
    <mergeCell ref="JQ1:KD2"/>
    <mergeCell ref="DJ1:DQ1"/>
    <mergeCell ref="DS1:ED1"/>
    <mergeCell ref="EG1:EP1"/>
    <mergeCell ref="ET1:FF1"/>
    <mergeCell ref="FI1:FV1"/>
    <mergeCell ref="FX1:GI1"/>
    <mergeCell ref="A1:R1"/>
    <mergeCell ref="W1:AA1"/>
    <mergeCell ref="AF1:AJ1"/>
    <mergeCell ref="AM1:CJ1"/>
    <mergeCell ref="CM1:CX1"/>
    <mergeCell ref="CZ1:DH1"/>
  </mergeCells>
  <conditionalFormatting sqref="AM3:CK4 KV29:LC30 KM30:KQ30">
    <cfRule type="cellIs" dxfId="25" priority="6" operator="lessThan">
      <formula>0</formula>
    </cfRule>
  </conditionalFormatting>
  <conditionalFormatting sqref="AN7:AP20">
    <cfRule type="cellIs" dxfId="24" priority="20" operator="lessThan">
      <formula>0</formula>
    </cfRule>
  </conditionalFormatting>
  <conditionalFormatting sqref="AN22:BT23">
    <cfRule type="cellIs" dxfId="23" priority="4" operator="lessThan">
      <formula>0</formula>
    </cfRule>
  </conditionalFormatting>
  <conditionalFormatting sqref="BW7:CJ20">
    <cfRule type="cellIs" dxfId="22" priority="9" operator="lessThan">
      <formula>0</formula>
    </cfRule>
  </conditionalFormatting>
  <conditionalFormatting sqref="BZ22:CA23">
    <cfRule type="cellIs" dxfId="21" priority="3" operator="lessThan">
      <formula>0</formula>
    </cfRule>
  </conditionalFormatting>
  <conditionalFormatting sqref="CC22:CJ23">
    <cfRule type="cellIs" dxfId="20" priority="1" operator="lessThan">
      <formula>0</formula>
    </cfRule>
  </conditionalFormatting>
  <conditionalFormatting sqref="CK1:CL1 JC1:JD1 JQ1 KE1:KH1 LD1:LE1 LG1 AM1:AM2 JN1:JP2 AO2:AR2 BW2:CK2 JC2 LD2 KE2:KG27 CL2:CL1048576 LE2:LE1048576 JC3:JS3 JU3 JW3 JY3 KL3:KR3 KT3 KX3:LD3 KJ3:KK4 JC4 JE4:JO4 KL4:LD4 JQ4:JT27 JP4:JP28 AN5:AR5 BW5:CJ5 CK5:CK24 KH5:KI27 AM5:AM1048576 AN6:CJ6 JM6:JO26 JC6:JL27 AQ7:BT10 BU7:BV11 KX7:LD28 AQ11:BO11 BQ11:BT11 AQ12:BV20 AH19:AJ19 AN26:CK1048576 JV27 JX27 JZ27:KB27 JO27:JO32 JM27:JN1048576 JC28:JH28 JJ28:JL28 LF28:LF37 JP29:JU29 JW29:KG29 KI29:KQ29 JC29:JL1048576 LD29:LD1048576 KI30:KK30 JP30:JP32 KE30:KG32 JO34:JP35 KE34:KG35 JO36:JU50 JW36:KG50 LF38:LQ1048576 KH48:KQ53 KV48:LC53 JO51:KG1048576 KH54:KR54 KT54:LC54 KH55:LC1048576">
    <cfRule type="cellIs" dxfId="19" priority="26" operator="lessThan">
      <formula>0</formula>
    </cfRule>
  </conditionalFormatting>
  <conditionalFormatting sqref="HF4 HF6:HF25">
    <cfRule type="cellIs" dxfId="18" priority="25" operator="lessThan">
      <formula>0</formula>
    </cfRule>
  </conditionalFormatting>
  <conditionalFormatting sqref="IF4">
    <cfRule type="cellIs" dxfId="17" priority="23" operator="lessThan">
      <formula>0</formula>
    </cfRule>
  </conditionalFormatting>
  <conditionalFormatting sqref="JC5:JO5">
    <cfRule type="cellIs" dxfId="16" priority="12" operator="lessThan">
      <formula>0</formula>
    </cfRule>
  </conditionalFormatting>
  <conditionalFormatting sqref="JU4:KD26">
    <cfRule type="cellIs" dxfId="15" priority="2" operator="lessThan">
      <formula>0</formula>
    </cfRule>
  </conditionalFormatting>
  <conditionalFormatting sqref="KC3">
    <cfRule type="cellIs" dxfId="14" priority="21" operator="lessThan">
      <formula>0</formula>
    </cfRule>
  </conditionalFormatting>
  <conditionalFormatting sqref="KC28:KW28">
    <cfRule type="cellIs" dxfId="13" priority="11" operator="lessThan">
      <formula>0</formula>
    </cfRule>
  </conditionalFormatting>
  <conditionalFormatting sqref="KD27">
    <cfRule type="cellIs" dxfId="12" priority="13" operator="lessThan">
      <formula>0</formula>
    </cfRule>
  </conditionalFormatting>
  <conditionalFormatting sqref="KH3:KI3 KI4">
    <cfRule type="cellIs" dxfId="11" priority="22" operator="lessThan">
      <formula>0</formula>
    </cfRule>
  </conditionalFormatting>
  <conditionalFormatting sqref="KJ7:KW27">
    <cfRule type="cellIs" dxfId="10" priority="10" operator="lessThan">
      <formula>0</formula>
    </cfRule>
  </conditionalFormatting>
  <conditionalFormatting sqref="KJ5:LD6">
    <cfRule type="cellIs" dxfId="9" priority="24" operator="lessThan">
      <formula>0</formula>
    </cfRule>
  </conditionalFormatting>
  <conditionalFormatting sqref="LF2">
    <cfRule type="cellIs" dxfId="8" priority="5" operator="lessThan">
      <formula>0</formula>
    </cfRule>
  </conditionalFormatting>
  <conditionalFormatting sqref="LI3:LI4">
    <cfRule type="cellIs" dxfId="7" priority="19" operator="lessThan">
      <formula>0</formula>
    </cfRule>
  </conditionalFormatting>
  <conditionalFormatting sqref="LJ4:LK4">
    <cfRule type="cellIs" dxfId="6" priority="18" operator="lessThan">
      <formula>0</formula>
    </cfRule>
  </conditionalFormatting>
  <conditionalFormatting sqref="LL3:LL4">
    <cfRule type="cellIs" dxfId="5" priority="17" operator="lessThan">
      <formula>0</formula>
    </cfRule>
  </conditionalFormatting>
  <conditionalFormatting sqref="LM4:LN4">
    <cfRule type="cellIs" dxfId="4" priority="16" operator="lessThan">
      <formula>0</formula>
    </cfRule>
  </conditionalFormatting>
  <conditionalFormatting sqref="LO3:LO4">
    <cfRule type="cellIs" dxfId="3" priority="15" operator="lessThan">
      <formula>0</formula>
    </cfRule>
  </conditionalFormatting>
  <conditionalFormatting sqref="LP4:LQ4">
    <cfRule type="cellIs" dxfId="2" priority="14" operator="lessThan">
      <formula>0</formula>
    </cfRule>
  </conditionalFormatting>
  <conditionalFormatting sqref="LU1">
    <cfRule type="cellIs" dxfId="1" priority="8" operator="lessThan">
      <formula>0</formula>
    </cfRule>
  </conditionalFormatting>
  <conditionalFormatting sqref="LU4:LW4">
    <cfRule type="cellIs" dxfId="0" priority="7" operator="lessThan">
      <formula>0</formula>
    </cfRule>
  </conditionalFormatting>
  <pageMargins left="0.7" right="0.7" top="0.75" bottom="0.75" header="0.3" footer="0.3"/>
  <pageSetup scale="1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EF61-4991-4608-BD43-1413C0069C8E}">
  <sheetPr>
    <tabColor theme="3" tint="0.39997558519241921"/>
    <pageSetUpPr autoPageBreaks="0"/>
  </sheetPr>
  <dimension ref="A1:KF50"/>
  <sheetViews>
    <sheetView zoomScale="90" zoomScaleNormal="90" workbookViewId="0">
      <selection activeCell="L32" sqref="L32"/>
    </sheetView>
  </sheetViews>
  <sheetFormatPr defaultColWidth="9.85546875" defaultRowHeight="15" x14ac:dyDescent="0.25"/>
  <cols>
    <col min="1" max="1" width="8.42578125" style="12" customWidth="1"/>
    <col min="2" max="2" width="35.7109375" style="12" customWidth="1"/>
    <col min="3" max="3" width="23.42578125" style="12" customWidth="1"/>
    <col min="4" max="4" width="20.7109375" style="12" customWidth="1"/>
    <col min="5" max="5" width="20.42578125" style="12" customWidth="1"/>
    <col min="6" max="6" width="3.85546875" style="12" customWidth="1"/>
    <col min="7" max="7" width="3.85546875" style="528" customWidth="1"/>
    <col min="8" max="9" width="3.85546875" style="12" customWidth="1"/>
    <col min="10" max="10" width="11.140625" style="12" customWidth="1"/>
    <col min="11" max="11" width="36" style="12" customWidth="1"/>
    <col min="12" max="12" width="19.85546875" style="12" customWidth="1"/>
    <col min="13" max="15" width="13.7109375" style="12" customWidth="1"/>
    <col min="16" max="16" width="16.85546875" style="12" customWidth="1"/>
    <col min="17" max="17" width="14.28515625" style="12" customWidth="1"/>
    <col min="18" max="18" width="3.85546875" style="12" customWidth="1"/>
    <col min="19" max="19" width="3.85546875" style="528" customWidth="1"/>
    <col min="20" max="21" width="3.85546875" style="12" customWidth="1"/>
    <col min="22" max="22" width="10.7109375" style="12" customWidth="1"/>
    <col min="23" max="23" width="33.42578125" style="12" bestFit="1" customWidth="1"/>
    <col min="24" max="24" width="17.42578125" style="12" customWidth="1"/>
    <col min="25" max="25" width="10.85546875" style="12" customWidth="1"/>
    <col min="26" max="26" width="3.85546875" style="12" customWidth="1"/>
    <col min="27" max="27" width="3.85546875" style="528" customWidth="1"/>
    <col min="28" max="28" width="3.85546875" style="12" customWidth="1"/>
    <col min="29" max="30" width="9.42578125" style="12" customWidth="1"/>
    <col min="31" max="31" width="36.5703125" style="12" customWidth="1"/>
    <col min="32" max="32" width="15.85546875" style="12" customWidth="1"/>
    <col min="33" max="33" width="3.85546875" style="12" customWidth="1"/>
    <col min="34" max="34" width="3.85546875" style="528" customWidth="1"/>
    <col min="35" max="35" width="3.85546875" style="12" customWidth="1"/>
    <col min="36" max="36" width="4.85546875" style="12" customWidth="1"/>
    <col min="37" max="37" width="62.28515625" style="12" customWidth="1"/>
    <col min="38" max="38" width="12.5703125" style="12" customWidth="1"/>
    <col min="39" max="39" width="3.85546875" style="12" customWidth="1"/>
    <col min="40" max="40" width="3.85546875" style="528" customWidth="1"/>
    <col min="41" max="41" width="3.85546875" style="12" customWidth="1"/>
    <col min="42" max="42" width="5" style="12" customWidth="1"/>
    <col min="43" max="43" width="10.42578125" style="12" customWidth="1"/>
    <col min="44" max="44" width="29.140625" style="12" customWidth="1"/>
    <col min="45" max="45" width="15.85546875" style="12" customWidth="1"/>
    <col min="46" max="46" width="15.140625" style="12" bestFit="1" customWidth="1"/>
    <col min="47" max="47" width="20" style="12" bestFit="1" customWidth="1"/>
    <col min="48" max="48" width="18.28515625" style="12" bestFit="1" customWidth="1"/>
    <col min="49" max="49" width="15.140625" style="12" bestFit="1" customWidth="1"/>
    <col min="50" max="50" width="19.42578125" style="12" customWidth="1"/>
    <col min="51" max="51" width="18.5703125" style="12" hidden="1" customWidth="1"/>
    <col min="52" max="52" width="14.85546875" style="12" hidden="1" customWidth="1"/>
    <col min="53" max="53" width="3.85546875" style="12" customWidth="1"/>
    <col min="54" max="54" width="3.85546875" style="528" customWidth="1"/>
    <col min="55" max="55" width="3.85546875" style="12" customWidth="1"/>
    <col min="56" max="56" width="4.42578125" style="12" bestFit="1" customWidth="1"/>
    <col min="57" max="57" width="34.42578125" style="12" bestFit="1" customWidth="1"/>
    <col min="58" max="58" width="12.5703125" style="12" bestFit="1" customWidth="1"/>
    <col min="59" max="59" width="14.28515625" style="12" bestFit="1" customWidth="1"/>
    <col min="60" max="60" width="3.85546875" style="12" customWidth="1"/>
    <col min="61" max="61" width="3.85546875" style="528" customWidth="1"/>
    <col min="62" max="62" width="3.85546875" style="12" customWidth="1"/>
    <col min="63" max="63" width="5.42578125" style="12" customWidth="1"/>
    <col min="64" max="64" width="11.140625" style="12" customWidth="1"/>
    <col min="65" max="65" width="36.5703125" style="12" customWidth="1"/>
    <col min="66" max="66" width="17.5703125" style="12" customWidth="1"/>
    <col min="67" max="67" width="19.5703125" style="12" customWidth="1"/>
    <col min="68" max="71" width="15.85546875" style="12" customWidth="1"/>
    <col min="72" max="72" width="3.85546875" style="12" customWidth="1"/>
    <col min="73" max="73" width="3.85546875" style="528" customWidth="1"/>
    <col min="74" max="74" width="3.85546875" style="12" customWidth="1"/>
    <col min="75" max="75" width="4.7109375" style="12" customWidth="1"/>
    <col min="76" max="76" width="18" style="12" bestFit="1" customWidth="1"/>
    <col min="77" max="77" width="13.7109375" style="12" customWidth="1"/>
    <col min="78" max="78" width="14.140625" style="12" customWidth="1"/>
    <col min="79" max="82" width="14.85546875" style="12" customWidth="1"/>
    <col min="83" max="83" width="3.85546875" style="12" customWidth="1"/>
    <col min="84" max="84" width="3.85546875" style="528" customWidth="1"/>
    <col min="85" max="85" width="3.85546875" style="12" customWidth="1"/>
    <col min="86" max="86" width="4.7109375" style="12" customWidth="1"/>
    <col min="87" max="87" width="10.42578125" style="60" customWidth="1"/>
    <col min="88" max="88" width="33.85546875" style="12" customWidth="1"/>
    <col min="89" max="95" width="15.42578125" style="12" customWidth="1"/>
    <col min="96" max="96" width="3.85546875" style="12" customWidth="1"/>
    <col min="97" max="97" width="3.85546875" style="528" customWidth="1"/>
    <col min="98" max="98" width="3.85546875" style="12" customWidth="1"/>
    <col min="99" max="99" width="4.42578125" style="12" customWidth="1"/>
    <col min="100" max="100" width="28.5703125" style="12" bestFit="1" customWidth="1"/>
    <col min="101" max="104" width="12.5703125" style="12" customWidth="1"/>
    <col min="105" max="105" width="15.85546875" style="12" customWidth="1"/>
    <col min="106" max="107" width="19.140625" style="12" customWidth="1"/>
    <col min="108" max="108" width="3.85546875" style="12" customWidth="1"/>
    <col min="109" max="109" width="3.85546875" style="528" customWidth="1"/>
    <col min="110" max="110" width="3.85546875" style="12" customWidth="1"/>
    <col min="111" max="111" width="5.5703125" style="12" customWidth="1"/>
    <col min="112" max="112" width="10.85546875" style="12" customWidth="1"/>
    <col min="113" max="113" width="32.85546875" style="12" customWidth="1"/>
    <col min="114" max="114" width="12.5703125" style="12" customWidth="1"/>
    <col min="115" max="115" width="14.85546875" style="12" customWidth="1"/>
    <col min="116" max="116" width="15.85546875" style="12" customWidth="1"/>
    <col min="117" max="117" width="14.85546875" style="12" customWidth="1"/>
    <col min="118" max="118" width="12.5703125" style="12" customWidth="1"/>
    <col min="119" max="119" width="14.85546875" style="12" customWidth="1"/>
    <col min="120" max="120" width="15.85546875" style="12" customWidth="1"/>
    <col min="121" max="121" width="12.5703125" style="12" customWidth="1"/>
    <col min="122" max="122" width="14.7109375" style="12" customWidth="1"/>
    <col min="123" max="123" width="3.85546875" style="12" customWidth="1"/>
    <col min="124" max="124" width="3.85546875" style="528" customWidth="1"/>
    <col min="125" max="125" width="3.85546875" style="12" customWidth="1"/>
    <col min="126" max="126" width="5.85546875" style="12" customWidth="1"/>
    <col min="127" max="127" width="10.5703125" style="12" customWidth="1"/>
    <col min="128" max="128" width="36.140625" style="12" customWidth="1"/>
    <col min="129" max="129" width="15.85546875" style="12" customWidth="1"/>
    <col min="130" max="130" width="15.28515625" style="12" customWidth="1"/>
    <col min="131" max="131" width="14.7109375" style="12" customWidth="1"/>
    <col min="132" max="132" width="3.85546875" style="12" customWidth="1"/>
    <col min="133" max="133" width="3.85546875" style="528" customWidth="1"/>
    <col min="134" max="134" width="3.85546875" style="12" customWidth="1"/>
    <col min="135" max="135" width="4.42578125" style="12" customWidth="1"/>
    <col min="136" max="137" width="13.7109375" style="12" customWidth="1"/>
    <col min="138" max="138" width="12.5703125" style="12" customWidth="1"/>
    <col min="139" max="139" width="14.140625" style="12" customWidth="1"/>
    <col min="140" max="140" width="3.85546875" style="12" customWidth="1"/>
    <col min="141" max="141" width="3.85546875" style="528" customWidth="1"/>
    <col min="142" max="142" width="3.85546875" style="12" customWidth="1"/>
    <col min="143" max="143" width="5.42578125" style="12" customWidth="1"/>
    <col min="144" max="144" width="11.140625" style="12" customWidth="1"/>
    <col min="145" max="145" width="32.85546875" style="12" customWidth="1"/>
    <col min="146" max="146" width="13.7109375" style="12" customWidth="1"/>
    <col min="147" max="147" width="14.85546875" style="12" bestFit="1" customWidth="1"/>
    <col min="148" max="151" width="13.7109375" style="12" customWidth="1"/>
    <col min="152" max="152" width="14.85546875" style="12" customWidth="1"/>
    <col min="153" max="154" width="13.7109375" style="12" customWidth="1"/>
    <col min="155" max="155" width="3.85546875" style="12" customWidth="1"/>
    <col min="156" max="156" width="3.85546875" style="528" customWidth="1"/>
    <col min="157" max="157" width="3.85546875" style="12" customWidth="1"/>
    <col min="158" max="158" width="5" style="12" customWidth="1"/>
    <col min="159" max="159" width="31.7109375" style="12" customWidth="1"/>
    <col min="160" max="160" width="20.28515625" style="12" customWidth="1"/>
    <col min="161" max="161" width="3.85546875" style="12" customWidth="1"/>
    <col min="162" max="162" width="3.85546875" style="528" customWidth="1"/>
    <col min="163" max="163" width="3.85546875" style="12" customWidth="1"/>
    <col min="164" max="164" width="5.140625" style="12" customWidth="1"/>
    <col min="165" max="165" width="10.85546875" style="12" customWidth="1"/>
    <col min="166" max="166" width="38.140625" style="12" customWidth="1"/>
    <col min="167" max="167" width="11.5703125" style="12" customWidth="1"/>
    <col min="168" max="168" width="19.140625" style="12" customWidth="1"/>
    <col min="169" max="169" width="14.85546875" style="12" customWidth="1"/>
    <col min="170" max="170" width="3.85546875" style="12" customWidth="1"/>
    <col min="171" max="171" width="3.85546875" style="528" customWidth="1"/>
    <col min="172" max="172" width="3.85546875" style="12" customWidth="1"/>
    <col min="173" max="173" width="5.42578125" style="12" customWidth="1"/>
    <col min="174" max="174" width="10.140625" style="12" customWidth="1"/>
    <col min="175" max="175" width="36" style="12" customWidth="1"/>
    <col min="176" max="176" width="16.42578125" style="12" bestFit="1" customWidth="1"/>
    <col min="177" max="177" width="15.85546875" style="12" bestFit="1" customWidth="1"/>
    <col min="178" max="178" width="15.42578125" style="12" bestFit="1" customWidth="1"/>
    <col min="179" max="179" width="14.85546875" style="12" bestFit="1" customWidth="1"/>
    <col min="180" max="180" width="14.28515625" style="12" bestFit="1" customWidth="1"/>
    <col min="181" max="181" width="15.42578125" style="12" bestFit="1" customWidth="1"/>
    <col min="182" max="182" width="15.85546875" style="12" bestFit="1" customWidth="1"/>
    <col min="183" max="183" width="17" style="12" bestFit="1" customWidth="1"/>
    <col min="184" max="184" width="14.7109375" style="12" customWidth="1"/>
    <col min="185" max="185" width="2.85546875" style="12" customWidth="1"/>
    <col min="186" max="186" width="3.85546875" style="528" customWidth="1"/>
    <col min="187" max="187" width="3.85546875" style="12" customWidth="1"/>
    <col min="188" max="188" width="5.140625" style="12" customWidth="1"/>
    <col min="189" max="189" width="10.42578125" style="12" customWidth="1"/>
    <col min="190" max="190" width="36" style="12" customWidth="1"/>
    <col min="191" max="191" width="17.140625" style="12" customWidth="1"/>
    <col min="192" max="196" width="15.85546875" style="12" customWidth="1"/>
    <col min="197" max="197" width="23.7109375" style="12" customWidth="1"/>
    <col min="198" max="198" width="15.85546875" style="12" customWidth="1"/>
    <col min="199" max="199" width="19.140625" style="12" bestFit="1" customWidth="1"/>
    <col min="200" max="200" width="4.42578125" style="12" customWidth="1"/>
    <col min="201" max="201" width="3.85546875" style="528" customWidth="1"/>
    <col min="202" max="202" width="3.85546875" style="12" customWidth="1"/>
    <col min="203" max="203" width="5.7109375" style="12" customWidth="1"/>
    <col min="204" max="204" width="10.5703125" style="12" customWidth="1"/>
    <col min="205" max="205" width="33.28515625" style="12" customWidth="1"/>
    <col min="206" max="206" width="15.42578125" style="12" customWidth="1"/>
    <col min="207" max="207" width="17" style="12" bestFit="1" customWidth="1"/>
    <col min="208" max="208" width="19.140625" style="12" customWidth="1"/>
    <col min="209" max="209" width="14.85546875" style="12" customWidth="1"/>
    <col min="210" max="210" width="17" style="12" bestFit="1" customWidth="1"/>
    <col min="211" max="211" width="17" style="12" customWidth="1"/>
    <col min="212" max="212" width="2.85546875" style="12" customWidth="1"/>
    <col min="213" max="213" width="3.85546875" style="528" customWidth="1"/>
    <col min="214" max="214" width="3.85546875" style="12" customWidth="1"/>
    <col min="215" max="215" width="5.5703125" style="12" customWidth="1"/>
    <col min="216" max="216" width="14.85546875" style="12" customWidth="1"/>
    <col min="217" max="217" width="16.85546875" style="12" bestFit="1" customWidth="1"/>
    <col min="218" max="218" width="14.85546875" style="12" customWidth="1"/>
    <col min="219" max="219" width="16.85546875" style="12" bestFit="1" customWidth="1"/>
    <col min="220" max="220" width="13.7109375" style="12" customWidth="1"/>
    <col min="221" max="221" width="2.85546875" style="12" customWidth="1"/>
    <col min="222" max="222" width="3.85546875" style="528" customWidth="1"/>
    <col min="223" max="223" width="3.85546875" style="12" customWidth="1"/>
    <col min="224" max="224" width="7.140625" style="12" customWidth="1"/>
    <col min="225" max="225" width="9.85546875" style="12" customWidth="1"/>
    <col min="226" max="226" width="31.140625" style="12" bestFit="1" customWidth="1"/>
    <col min="227" max="227" width="15.5703125" style="12" customWidth="1"/>
    <col min="228" max="228" width="20.85546875" style="12" customWidth="1"/>
    <col min="229" max="229" width="22.140625" style="12" customWidth="1"/>
    <col min="230" max="230" width="11" style="12" customWidth="1"/>
    <col min="231" max="231" width="10.42578125" style="12" customWidth="1"/>
    <col min="232" max="232" width="15.85546875" style="12" customWidth="1"/>
    <col min="233" max="233" width="3.85546875" style="12" customWidth="1"/>
    <col min="234" max="234" width="3.85546875" style="528" customWidth="1"/>
    <col min="235" max="235" width="3.85546875" style="12" customWidth="1"/>
    <col min="236" max="237" width="13.42578125" style="12" bestFit="1" customWidth="1"/>
    <col min="238" max="238" width="16.42578125" style="12" bestFit="1" customWidth="1"/>
    <col min="239" max="239" width="9.85546875" style="12" bestFit="1" customWidth="1"/>
    <col min="240" max="240" width="21.85546875" style="12" bestFit="1" customWidth="1"/>
    <col min="241" max="241" width="13.42578125" style="12" bestFit="1" customWidth="1"/>
    <col min="242" max="242" width="12.5703125" style="12" bestFit="1" customWidth="1"/>
    <col min="243" max="243" width="21.5703125" style="12" customWidth="1"/>
    <col min="244" max="244" width="12.42578125" style="12" bestFit="1" customWidth="1"/>
    <col min="245" max="245" width="11.28515625" style="12" bestFit="1" customWidth="1"/>
    <col min="246" max="246" width="13.140625" style="12" bestFit="1" customWidth="1"/>
    <col min="247" max="247" width="3.85546875" style="528" customWidth="1"/>
    <col min="248" max="248" width="13.7109375" style="12" bestFit="1" customWidth="1"/>
    <col min="249" max="249" width="4.42578125" style="12" bestFit="1" customWidth="1"/>
    <col min="250" max="250" width="9" style="12" bestFit="1" customWidth="1"/>
    <col min="251" max="251" width="32.5703125" style="12" customWidth="1"/>
    <col min="252" max="252" width="17.140625" style="12" customWidth="1"/>
    <col min="253" max="253" width="16.42578125" style="12" customWidth="1"/>
    <col min="254" max="255" width="18.85546875" style="12" customWidth="1"/>
    <col min="256" max="256" width="21.28515625" style="12" customWidth="1"/>
    <col min="257" max="257" width="20.42578125" style="12" customWidth="1"/>
    <col min="258" max="258" width="20" style="12" customWidth="1"/>
    <col min="259" max="259" width="15.28515625" style="12" customWidth="1"/>
    <col min="260" max="260" width="13.85546875" style="12" customWidth="1"/>
    <col min="261" max="261" width="16.85546875" style="12" customWidth="1"/>
    <col min="262" max="262" width="9.5703125" style="12" customWidth="1"/>
    <col min="263" max="263" width="9.85546875" style="12"/>
    <col min="264" max="264" width="3.85546875" style="528" customWidth="1"/>
    <col min="265" max="265" width="9.85546875" style="12"/>
    <col min="266" max="266" width="11" style="12" bestFit="1" customWidth="1"/>
    <col min="267" max="267" width="9.42578125" style="12" bestFit="1" customWidth="1"/>
    <col min="268" max="268" width="32.28515625" style="12" customWidth="1"/>
    <col min="269" max="269" width="18" style="12" customWidth="1"/>
    <col min="270" max="270" width="19.42578125" style="12" customWidth="1"/>
    <col min="271" max="271" width="15.5703125" style="12" bestFit="1" customWidth="1"/>
    <col min="272" max="272" width="8.28515625" style="12" bestFit="1" customWidth="1"/>
    <col min="273" max="273" width="11.85546875" style="12" customWidth="1"/>
    <col min="274" max="274" width="13.7109375" style="12" customWidth="1"/>
    <col min="275" max="276" width="9.85546875" style="12"/>
    <col min="277" max="277" width="3.85546875" style="528" customWidth="1"/>
    <col min="279" max="279" width="13.85546875" customWidth="1"/>
    <col min="280" max="280" width="11.7109375" customWidth="1"/>
    <col min="281" max="281" width="14" bestFit="1" customWidth="1"/>
    <col min="282" max="282" width="11.7109375" customWidth="1"/>
    <col min="284" max="284" width="14.140625" bestFit="1" customWidth="1"/>
    <col min="285" max="285" width="13.28515625" bestFit="1" customWidth="1"/>
    <col min="287" max="287" width="17" customWidth="1"/>
    <col min="288" max="288" width="12.28515625" customWidth="1"/>
    <col min="291" max="291" width="20.85546875" customWidth="1"/>
    <col min="292" max="292" width="13.28515625" bestFit="1" customWidth="1"/>
  </cols>
  <sheetData>
    <row r="1" spans="1:292" s="516" customFormat="1" ht="16.5" x14ac:dyDescent="0.3">
      <c r="A1" s="1063" t="s">
        <v>258</v>
      </c>
      <c r="B1" s="1063"/>
      <c r="C1" s="1063"/>
      <c r="D1" s="1063"/>
      <c r="E1" s="1063"/>
      <c r="F1" s="510"/>
      <c r="G1" s="511"/>
      <c r="H1" s="510"/>
      <c r="I1" s="1064" t="s">
        <v>259</v>
      </c>
      <c r="J1" s="1064"/>
      <c r="K1" s="1064"/>
      <c r="L1" s="1064"/>
      <c r="M1" s="1064"/>
      <c r="N1" s="1064"/>
      <c r="O1" s="1064"/>
      <c r="P1" s="1064"/>
      <c r="Q1" s="1064"/>
      <c r="R1" s="510"/>
      <c r="S1" s="511"/>
      <c r="T1" s="510"/>
      <c r="U1" s="1064" t="s">
        <v>260</v>
      </c>
      <c r="V1" s="1064"/>
      <c r="W1" s="1064"/>
      <c r="X1" s="1064"/>
      <c r="Y1" s="1064"/>
      <c r="Z1" s="510"/>
      <c r="AA1" s="511"/>
      <c r="AB1" s="510"/>
      <c r="AC1" s="1063" t="s">
        <v>261</v>
      </c>
      <c r="AD1" s="1063"/>
      <c r="AE1" s="1063"/>
      <c r="AF1" s="1063"/>
      <c r="AG1" s="512"/>
      <c r="AH1" s="511"/>
      <c r="AI1" s="510"/>
      <c r="AJ1" s="1065" t="s">
        <v>262</v>
      </c>
      <c r="AK1" s="1065"/>
      <c r="AL1" s="1065"/>
      <c r="AM1" s="5"/>
      <c r="AN1" s="513"/>
      <c r="AO1" s="5"/>
      <c r="AP1" s="1066" t="s">
        <v>263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510"/>
      <c r="BB1" s="511"/>
      <c r="BC1" s="510"/>
      <c r="BD1" s="1065" t="s">
        <v>264</v>
      </c>
      <c r="BE1" s="1065"/>
      <c r="BF1" s="1065"/>
      <c r="BG1" s="1065"/>
      <c r="BH1" s="510"/>
      <c r="BI1" s="511"/>
      <c r="BJ1" s="510"/>
      <c r="BK1" s="1067" t="s">
        <v>265</v>
      </c>
      <c r="BL1" s="1067"/>
      <c r="BM1" s="1067"/>
      <c r="BN1" s="1067"/>
      <c r="BO1" s="1067"/>
      <c r="BP1" s="1067"/>
      <c r="BQ1" s="1067"/>
      <c r="BR1" s="1067"/>
      <c r="BS1" s="1067"/>
      <c r="BT1" s="510"/>
      <c r="BU1" s="511"/>
      <c r="BV1" s="510"/>
      <c r="BW1" s="1064" t="s">
        <v>266</v>
      </c>
      <c r="BX1" s="1064"/>
      <c r="BY1" s="1064"/>
      <c r="BZ1" s="1064"/>
      <c r="CA1" s="1064"/>
      <c r="CB1" s="1064"/>
      <c r="CC1" s="1064"/>
      <c r="CD1" s="1064"/>
      <c r="CE1" s="510"/>
      <c r="CF1" s="511"/>
      <c r="CG1" s="510"/>
      <c r="CH1" s="1064" t="s">
        <v>267</v>
      </c>
      <c r="CI1" s="1064"/>
      <c r="CJ1" s="1064"/>
      <c r="CK1" s="1064"/>
      <c r="CL1" s="1064"/>
      <c r="CM1" s="1064"/>
      <c r="CN1" s="1064"/>
      <c r="CO1" s="1064"/>
      <c r="CP1" s="1064"/>
      <c r="CQ1" s="1064"/>
      <c r="CR1" s="510"/>
      <c r="CS1" s="511"/>
      <c r="CT1" s="510"/>
      <c r="CU1" s="1064" t="s">
        <v>268</v>
      </c>
      <c r="CV1" s="1064"/>
      <c r="CW1" s="1064"/>
      <c r="CX1" s="1064"/>
      <c r="CY1" s="1064"/>
      <c r="CZ1" s="1064"/>
      <c r="DA1" s="1064"/>
      <c r="DB1" s="1064"/>
      <c r="DC1" s="1064"/>
      <c r="DD1" s="510"/>
      <c r="DE1" s="511"/>
      <c r="DF1" s="510"/>
      <c r="DG1" s="1062" t="s">
        <v>269</v>
      </c>
      <c r="DH1" s="1062"/>
      <c r="DI1" s="1062"/>
      <c r="DJ1" s="1062"/>
      <c r="DK1" s="1062"/>
      <c r="DL1" s="1062"/>
      <c r="DM1" s="1062"/>
      <c r="DN1" s="1062"/>
      <c r="DO1" s="1062"/>
      <c r="DP1" s="1062"/>
      <c r="DQ1" s="1062"/>
      <c r="DR1" s="1062"/>
      <c r="DS1" s="510"/>
      <c r="DT1" s="511"/>
      <c r="DU1" s="510"/>
      <c r="DV1" s="1062" t="s">
        <v>270</v>
      </c>
      <c r="DW1" s="1062"/>
      <c r="DX1" s="1062"/>
      <c r="DY1" s="1062"/>
      <c r="DZ1" s="1062"/>
      <c r="EA1" s="1062"/>
      <c r="EB1" s="510"/>
      <c r="EC1" s="511"/>
      <c r="ED1" s="510"/>
      <c r="EE1" s="1063" t="s">
        <v>271</v>
      </c>
      <c r="EF1" s="1063"/>
      <c r="EG1" s="1063"/>
      <c r="EH1" s="1063"/>
      <c r="EI1" s="1063"/>
      <c r="EJ1" s="510"/>
      <c r="EK1" s="511"/>
      <c r="EL1" s="510"/>
      <c r="EM1" s="1062" t="s">
        <v>272</v>
      </c>
      <c r="EN1" s="1062"/>
      <c r="EO1" s="1062"/>
      <c r="EP1" s="1062"/>
      <c r="EQ1" s="1062"/>
      <c r="ER1" s="1062"/>
      <c r="ES1" s="1062"/>
      <c r="ET1" s="1062"/>
      <c r="EU1" s="1062"/>
      <c r="EV1" s="1062"/>
      <c r="EW1" s="1062"/>
      <c r="EX1" s="1062"/>
      <c r="EY1" s="510"/>
      <c r="EZ1" s="511"/>
      <c r="FA1" s="510"/>
      <c r="FB1" s="1063" t="s">
        <v>273</v>
      </c>
      <c r="FC1" s="1063"/>
      <c r="FD1" s="1063"/>
      <c r="FE1" s="510"/>
      <c r="FF1" s="511"/>
      <c r="FG1" s="510"/>
      <c r="FH1" s="1062" t="s">
        <v>274</v>
      </c>
      <c r="FI1" s="1062"/>
      <c r="FJ1" s="1062"/>
      <c r="FK1" s="1062"/>
      <c r="FL1" s="1062"/>
      <c r="FM1" s="1062"/>
      <c r="FN1" s="510"/>
      <c r="FO1" s="513"/>
      <c r="FP1" s="5"/>
      <c r="FQ1" s="1064" t="s">
        <v>275</v>
      </c>
      <c r="FR1" s="1064"/>
      <c r="FS1" s="1064"/>
      <c r="FT1" s="1064"/>
      <c r="FU1" s="1064"/>
      <c r="FV1" s="1064"/>
      <c r="FW1" s="1064"/>
      <c r="FX1" s="1064"/>
      <c r="FY1" s="1064"/>
      <c r="FZ1" s="1064"/>
      <c r="GA1" s="1064"/>
      <c r="GB1" s="1064"/>
      <c r="GC1" s="509"/>
      <c r="GD1" s="513"/>
      <c r="GE1" s="5"/>
      <c r="GF1" s="1066" t="s">
        <v>276</v>
      </c>
      <c r="GG1" s="1066"/>
      <c r="GH1" s="1066"/>
      <c r="GI1" s="1066"/>
      <c r="GJ1" s="1066"/>
      <c r="GK1" s="1066"/>
      <c r="GL1" s="1066"/>
      <c r="GM1" s="1066"/>
      <c r="GN1" s="1066"/>
      <c r="GO1" s="1066"/>
      <c r="GP1" s="1066"/>
      <c r="GQ1" s="1066"/>
      <c r="GR1" s="514"/>
      <c r="GS1" s="513"/>
      <c r="GT1" s="5"/>
      <c r="GU1" s="1063" t="s">
        <v>277</v>
      </c>
      <c r="GV1" s="1063"/>
      <c r="GW1" s="1063"/>
      <c r="GX1" s="1063"/>
      <c r="GY1" s="1063"/>
      <c r="GZ1" s="1063"/>
      <c r="HA1" s="1063"/>
      <c r="HB1" s="1063"/>
      <c r="HC1" s="1063"/>
      <c r="HD1" s="515"/>
      <c r="HE1" s="513"/>
      <c r="HF1" s="5"/>
      <c r="HG1" s="1063" t="s">
        <v>278</v>
      </c>
      <c r="HH1" s="1063"/>
      <c r="HI1" s="1063"/>
      <c r="HJ1" s="1063"/>
      <c r="HK1" s="1063"/>
      <c r="HL1" s="1063"/>
      <c r="HM1" s="515"/>
      <c r="HN1" s="513"/>
      <c r="HO1" s="5"/>
      <c r="HP1" s="1064" t="s">
        <v>279</v>
      </c>
      <c r="HQ1" s="1064"/>
      <c r="HR1" s="1064"/>
      <c r="HS1" s="1064"/>
      <c r="HT1" s="1064"/>
      <c r="HU1" s="1064"/>
      <c r="HV1" s="1064"/>
      <c r="HW1" s="1064"/>
      <c r="HX1" s="1064"/>
      <c r="HY1" s="510"/>
      <c r="HZ1" s="511"/>
      <c r="IA1" s="510"/>
      <c r="IB1" s="1065" t="s">
        <v>280</v>
      </c>
      <c r="IC1" s="1065"/>
      <c r="ID1" s="1065"/>
      <c r="IE1" s="1065"/>
      <c r="IF1" s="1065"/>
      <c r="IG1" s="1065"/>
      <c r="IH1" s="1065"/>
      <c r="II1" s="1065"/>
      <c r="IJ1" s="1065"/>
      <c r="IK1" s="1065"/>
      <c r="IL1" s="510"/>
      <c r="IM1" s="511"/>
      <c r="IN1" s="510"/>
      <c r="IO1" s="1065" t="s">
        <v>281</v>
      </c>
      <c r="IP1" s="1065"/>
      <c r="IQ1" s="1065"/>
      <c r="IR1" s="1065"/>
      <c r="IS1" s="1065"/>
      <c r="IT1" s="1065"/>
      <c r="IU1" s="1065"/>
      <c r="IV1" s="1065"/>
      <c r="IW1" s="1065"/>
      <c r="IX1" s="1065"/>
      <c r="IY1" s="1065"/>
      <c r="IZ1" s="1065"/>
      <c r="JA1" s="1065"/>
      <c r="JB1" s="1065"/>
      <c r="JC1" s="5"/>
      <c r="JD1" s="513"/>
      <c r="JE1" s="5"/>
      <c r="JF1" s="1064" t="s">
        <v>282</v>
      </c>
      <c r="JG1" s="1064"/>
      <c r="JH1" s="1064"/>
      <c r="JI1" s="1064"/>
      <c r="JJ1" s="1064"/>
      <c r="JK1" s="1064"/>
      <c r="JL1" s="1064"/>
      <c r="JM1" s="1064"/>
      <c r="JN1" s="1064"/>
      <c r="JO1" s="5"/>
      <c r="JP1" s="5"/>
      <c r="JQ1" s="513"/>
      <c r="JS1" s="516" t="s">
        <v>438</v>
      </c>
      <c r="JX1" s="516" t="s">
        <v>436</v>
      </c>
      <c r="JY1" s="516" t="s">
        <v>437</v>
      </c>
    </row>
    <row r="2" spans="1:292" ht="77.25" customHeight="1" x14ac:dyDescent="0.3">
      <c r="A2" s="517"/>
      <c r="B2" s="518"/>
      <c r="C2" s="75" t="s">
        <v>283</v>
      </c>
      <c r="D2" s="75" t="s">
        <v>284</v>
      </c>
      <c r="E2" s="75" t="s">
        <v>285</v>
      </c>
      <c r="F2" s="46"/>
      <c r="G2" s="519"/>
      <c r="H2" s="46"/>
      <c r="I2" s="517"/>
      <c r="J2" s="75" t="s">
        <v>286</v>
      </c>
      <c r="K2" s="75" t="s">
        <v>287</v>
      </c>
      <c r="L2" s="987" t="s">
        <v>288</v>
      </c>
      <c r="M2" s="75" t="s">
        <v>289</v>
      </c>
      <c r="N2" s="987" t="s">
        <v>290</v>
      </c>
      <c r="O2" s="75" t="s">
        <v>291</v>
      </c>
      <c r="P2" s="75" t="s">
        <v>292</v>
      </c>
      <c r="Q2" s="75" t="s">
        <v>293</v>
      </c>
      <c r="R2" s="46"/>
      <c r="S2" s="519"/>
      <c r="T2" s="46"/>
      <c r="U2" s="517"/>
      <c r="V2" s="75" t="s">
        <v>286</v>
      </c>
      <c r="W2" s="75" t="s">
        <v>287</v>
      </c>
      <c r="X2" s="75" t="s">
        <v>294</v>
      </c>
      <c r="Y2" s="75" t="s">
        <v>295</v>
      </c>
      <c r="Z2" s="46"/>
      <c r="AA2" s="519"/>
      <c r="AB2" s="46"/>
      <c r="AC2" s="520"/>
      <c r="AD2" s="521" t="s">
        <v>286</v>
      </c>
      <c r="AE2" s="75" t="s">
        <v>287</v>
      </c>
      <c r="AF2" s="988" t="s">
        <v>296</v>
      </c>
      <c r="AG2" s="46"/>
      <c r="AH2" s="519"/>
      <c r="AI2" s="46"/>
      <c r="AJ2" s="517"/>
      <c r="AK2" s="75"/>
      <c r="AL2" s="75" t="s">
        <v>127</v>
      </c>
      <c r="AM2" s="522"/>
      <c r="AN2" s="523"/>
      <c r="AO2" s="522"/>
      <c r="AP2" s="517"/>
      <c r="AQ2" s="75" t="s">
        <v>286</v>
      </c>
      <c r="AR2" s="75" t="s">
        <v>287</v>
      </c>
      <c r="AS2" s="75" t="s">
        <v>297</v>
      </c>
      <c r="AT2" s="1002" t="s">
        <v>298</v>
      </c>
      <c r="AU2" s="75" t="s">
        <v>299</v>
      </c>
      <c r="AV2" s="75" t="s">
        <v>300</v>
      </c>
      <c r="AW2" s="75" t="s">
        <v>301</v>
      </c>
      <c r="AX2" s="75" t="s">
        <v>302</v>
      </c>
      <c r="AY2" s="524" t="s">
        <v>303</v>
      </c>
      <c r="AZ2" s="524" t="s">
        <v>304</v>
      </c>
      <c r="BA2" s="46"/>
      <c r="BB2" s="519"/>
      <c r="BC2" s="177"/>
      <c r="BD2" s="517"/>
      <c r="BE2" s="75" t="s">
        <v>305</v>
      </c>
      <c r="BF2" s="75" t="s">
        <v>306</v>
      </c>
      <c r="BG2" s="75" t="s">
        <v>307</v>
      </c>
      <c r="BH2" s="46"/>
      <c r="BI2" s="519"/>
      <c r="BJ2" s="46"/>
      <c r="BK2" s="517"/>
      <c r="BL2" s="75" t="s">
        <v>286</v>
      </c>
      <c r="BM2" s="75" t="s">
        <v>287</v>
      </c>
      <c r="BN2" s="75" t="str">
        <f>BE4</f>
        <v>Direct and Collector Labour Allocator</v>
      </c>
      <c r="BO2" s="75" t="s">
        <v>308</v>
      </c>
      <c r="BP2" s="75" t="str">
        <f>BE5</f>
        <v>Volume Allocator</v>
      </c>
      <c r="BQ2" s="75" t="s">
        <v>309</v>
      </c>
      <c r="BR2" s="75" t="s">
        <v>310</v>
      </c>
      <c r="BS2" s="75" t="s">
        <v>285</v>
      </c>
      <c r="BT2" s="46"/>
      <c r="BU2" s="519"/>
      <c r="BV2" s="46"/>
      <c r="BW2" s="517"/>
      <c r="BX2" s="106"/>
      <c r="BY2" s="987" t="s">
        <v>311</v>
      </c>
      <c r="BZ2" s="75" t="s">
        <v>312</v>
      </c>
      <c r="CA2" s="75" t="s">
        <v>313</v>
      </c>
      <c r="CB2" s="75" t="s">
        <v>314</v>
      </c>
      <c r="CC2" s="75" t="s">
        <v>315</v>
      </c>
      <c r="CD2" s="75" t="s">
        <v>316</v>
      </c>
      <c r="CE2" s="46"/>
      <c r="CF2" s="519"/>
      <c r="CG2" s="46"/>
      <c r="CH2" s="517"/>
      <c r="CI2" s="75" t="s">
        <v>286</v>
      </c>
      <c r="CJ2" s="75" t="s">
        <v>287</v>
      </c>
      <c r="CK2" s="75" t="s">
        <v>317</v>
      </c>
      <c r="CL2" s="75" t="s">
        <v>318</v>
      </c>
      <c r="CM2" s="75" t="s">
        <v>319</v>
      </c>
      <c r="CN2" s="75" t="s">
        <v>320</v>
      </c>
      <c r="CO2" s="75" t="s">
        <v>321</v>
      </c>
      <c r="CP2" s="75" t="s">
        <v>322</v>
      </c>
      <c r="CQ2" s="75" t="s">
        <v>285</v>
      </c>
      <c r="CR2" s="46"/>
      <c r="CS2" s="519"/>
      <c r="CT2" s="46"/>
      <c r="CU2" s="517"/>
      <c r="CV2" s="75" t="s">
        <v>323</v>
      </c>
      <c r="CW2" s="75" t="s">
        <v>322</v>
      </c>
      <c r="CX2" s="75" t="s">
        <v>292</v>
      </c>
      <c r="CY2" s="525" t="s">
        <v>317</v>
      </c>
      <c r="CZ2" s="75" t="str">
        <f>CW2</f>
        <v>Building Allocator</v>
      </c>
      <c r="DA2" s="75" t="str">
        <f>CX2</f>
        <v>Pallet Allocator</v>
      </c>
      <c r="DB2" s="75" t="str">
        <f>CY2</f>
        <v>Volume Allocator</v>
      </c>
      <c r="DC2" s="987" t="s">
        <v>324</v>
      </c>
      <c r="DD2" s="46"/>
      <c r="DE2" s="519"/>
      <c r="DF2" s="46"/>
      <c r="DG2" s="517"/>
      <c r="DH2" s="75" t="s">
        <v>286</v>
      </c>
      <c r="DI2" s="75" t="s">
        <v>287</v>
      </c>
      <c r="DJ2" s="75" t="s">
        <v>322</v>
      </c>
      <c r="DK2" s="75" t="s">
        <v>325</v>
      </c>
      <c r="DL2" s="75" t="s">
        <v>292</v>
      </c>
      <c r="DM2" s="75" t="s">
        <v>326</v>
      </c>
      <c r="DN2" s="75" t="s">
        <v>317</v>
      </c>
      <c r="DO2" s="75" t="s">
        <v>327</v>
      </c>
      <c r="DP2" s="75" t="s">
        <v>328</v>
      </c>
      <c r="DQ2" s="75" t="s">
        <v>329</v>
      </c>
      <c r="DR2" s="75" t="s">
        <v>285</v>
      </c>
      <c r="DS2" s="46"/>
      <c r="DT2" s="519"/>
      <c r="DU2" s="46"/>
      <c r="DV2" s="517"/>
      <c r="DW2" s="75" t="s">
        <v>286</v>
      </c>
      <c r="DX2" s="75" t="s">
        <v>287</v>
      </c>
      <c r="DY2" s="75" t="s">
        <v>292</v>
      </c>
      <c r="DZ2" s="75" t="s">
        <v>330</v>
      </c>
      <c r="EA2" s="75" t="s">
        <v>285</v>
      </c>
      <c r="EB2" s="46"/>
      <c r="EC2" s="519"/>
      <c r="ED2" s="46"/>
      <c r="EE2" s="526"/>
      <c r="EF2" s="75" t="s">
        <v>305</v>
      </c>
      <c r="EG2" s="987" t="s">
        <v>331</v>
      </c>
      <c r="EH2" s="75" t="s">
        <v>306</v>
      </c>
      <c r="EI2" s="75" t="s">
        <v>307</v>
      </c>
      <c r="EJ2" s="46"/>
      <c r="EK2" s="519"/>
      <c r="EL2" s="46"/>
      <c r="EM2" s="517"/>
      <c r="EN2" s="75" t="s">
        <v>286</v>
      </c>
      <c r="EO2" s="75" t="s">
        <v>287</v>
      </c>
      <c r="EP2" s="75" t="s">
        <v>295</v>
      </c>
      <c r="EQ2" s="75" t="s">
        <v>332</v>
      </c>
      <c r="ER2" s="75" t="s">
        <v>322</v>
      </c>
      <c r="ES2" s="75" t="s">
        <v>333</v>
      </c>
      <c r="ET2" s="75" t="s">
        <v>317</v>
      </c>
      <c r="EU2" s="75" t="s">
        <v>334</v>
      </c>
      <c r="EV2" s="75" t="s">
        <v>335</v>
      </c>
      <c r="EW2" s="75" t="s">
        <v>329</v>
      </c>
      <c r="EX2" s="75" t="s">
        <v>285</v>
      </c>
      <c r="EY2" s="46"/>
      <c r="EZ2" s="519"/>
      <c r="FA2" s="46"/>
      <c r="FB2" s="527"/>
      <c r="FC2" s="64" t="s">
        <v>126</v>
      </c>
      <c r="FD2" s="64" t="s">
        <v>336</v>
      </c>
      <c r="FE2" s="46"/>
      <c r="FF2" s="519"/>
      <c r="FG2" s="46"/>
      <c r="FH2" s="517"/>
      <c r="FI2" s="75" t="s">
        <v>286</v>
      </c>
      <c r="FJ2" s="75" t="s">
        <v>287</v>
      </c>
      <c r="FK2" s="75" t="str">
        <f>Y2</f>
        <v>Business Cost Allocator</v>
      </c>
      <c r="FL2" s="75" t="s">
        <v>337</v>
      </c>
      <c r="FM2" s="75" t="s">
        <v>285</v>
      </c>
      <c r="FN2" s="46"/>
      <c r="FQ2" s="517"/>
      <c r="FR2" s="75" t="s">
        <v>286</v>
      </c>
      <c r="FS2" s="75" t="s">
        <v>287</v>
      </c>
      <c r="FT2" s="75" t="s">
        <v>338</v>
      </c>
      <c r="FU2" s="75" t="s">
        <v>48</v>
      </c>
      <c r="FV2" s="75" t="s">
        <v>339</v>
      </c>
      <c r="FW2" s="75" t="s">
        <v>52</v>
      </c>
      <c r="FX2" s="75" t="s">
        <v>50</v>
      </c>
      <c r="FY2" s="75" t="s">
        <v>53</v>
      </c>
      <c r="FZ2" s="75" t="s">
        <v>336</v>
      </c>
      <c r="GA2" s="75" t="s">
        <v>340</v>
      </c>
      <c r="GB2" s="75" t="s">
        <v>285</v>
      </c>
      <c r="GC2" s="46"/>
      <c r="GF2" s="517"/>
      <c r="GG2" s="75" t="s">
        <v>286</v>
      </c>
      <c r="GH2" s="75" t="s">
        <v>287</v>
      </c>
      <c r="GI2" s="75" t="s">
        <v>341</v>
      </c>
      <c r="GJ2" s="75" t="s">
        <v>342</v>
      </c>
      <c r="GK2" s="75" t="s">
        <v>343</v>
      </c>
      <c r="GL2" s="75" t="s">
        <v>344</v>
      </c>
      <c r="GM2" s="75" t="s">
        <v>345</v>
      </c>
      <c r="GN2" s="75" t="s">
        <v>346</v>
      </c>
      <c r="GO2" s="75" t="s">
        <v>347</v>
      </c>
      <c r="GP2" s="75" t="s">
        <v>285</v>
      </c>
      <c r="GQ2" s="1002" t="s">
        <v>118</v>
      </c>
      <c r="GR2" s="529"/>
      <c r="GU2" s="517"/>
      <c r="GV2" s="75" t="s">
        <v>286</v>
      </c>
      <c r="GW2" s="75" t="s">
        <v>287</v>
      </c>
      <c r="GX2" s="75" t="s">
        <v>293</v>
      </c>
      <c r="GY2" s="75" t="s">
        <v>340</v>
      </c>
      <c r="GZ2" s="75" t="s">
        <v>118</v>
      </c>
      <c r="HA2" s="75" t="s">
        <v>348</v>
      </c>
      <c r="HB2" s="75" t="s">
        <v>349</v>
      </c>
      <c r="HC2" s="75" t="s">
        <v>350</v>
      </c>
      <c r="HD2" s="46"/>
      <c r="HG2" s="517"/>
      <c r="HH2" s="75" t="s">
        <v>293</v>
      </c>
      <c r="HI2" s="75" t="s">
        <v>340</v>
      </c>
      <c r="HJ2" s="75" t="s">
        <v>118</v>
      </c>
      <c r="HK2" s="75" t="s">
        <v>349</v>
      </c>
      <c r="HL2" s="75" t="s">
        <v>350</v>
      </c>
      <c r="HM2" s="46"/>
      <c r="HP2" s="517"/>
      <c r="HQ2" s="531" t="s">
        <v>286</v>
      </c>
      <c r="HR2" s="531" t="str">
        <f>FS2</f>
        <v>Container Stream</v>
      </c>
      <c r="HS2" s="989" t="s">
        <v>118</v>
      </c>
      <c r="HT2" s="531" t="s">
        <v>351</v>
      </c>
      <c r="HU2" s="989" t="s">
        <v>428</v>
      </c>
      <c r="HV2" s="531" t="s">
        <v>73</v>
      </c>
      <c r="HW2" s="531" t="s">
        <v>352</v>
      </c>
      <c r="HX2" s="531" t="s">
        <v>353</v>
      </c>
      <c r="HY2" s="46"/>
      <c r="HZ2" s="519"/>
      <c r="IB2" s="532" t="s">
        <v>354</v>
      </c>
      <c r="IC2" s="532" t="s">
        <v>355</v>
      </c>
      <c r="ID2" s="532" t="s">
        <v>356</v>
      </c>
      <c r="IE2" s="532" t="s">
        <v>357</v>
      </c>
      <c r="IF2" s="532" t="s">
        <v>358</v>
      </c>
      <c r="IG2" s="532" t="s">
        <v>283</v>
      </c>
      <c r="IH2" s="532" t="s">
        <v>359</v>
      </c>
      <c r="II2" s="989" t="s">
        <v>360</v>
      </c>
      <c r="IJ2" s="532" t="s">
        <v>361</v>
      </c>
      <c r="IK2" s="532" t="s">
        <v>362</v>
      </c>
      <c r="IL2" s="46"/>
      <c r="IM2" s="519"/>
      <c r="IN2" s="46"/>
      <c r="IO2" s="533"/>
      <c r="IP2" s="532" t="s">
        <v>286</v>
      </c>
      <c r="IQ2" s="532" t="s">
        <v>287</v>
      </c>
      <c r="IR2" s="532" t="s">
        <v>340</v>
      </c>
      <c r="IS2" s="532" t="s">
        <v>118</v>
      </c>
      <c r="IT2" s="532" t="s">
        <v>363</v>
      </c>
      <c r="IU2" s="532" t="s">
        <v>364</v>
      </c>
      <c r="IV2" s="532" t="s">
        <v>365</v>
      </c>
      <c r="IW2" s="532" t="s">
        <v>366</v>
      </c>
      <c r="IX2" s="534" t="s">
        <v>367</v>
      </c>
      <c r="IY2" s="534" t="s">
        <v>368</v>
      </c>
      <c r="IZ2" s="534" t="s">
        <v>369</v>
      </c>
      <c r="JA2" s="534" t="s">
        <v>370</v>
      </c>
      <c r="JB2" s="534" t="s">
        <v>371</v>
      </c>
      <c r="JF2" s="517"/>
      <c r="JG2" s="531" t="s">
        <v>286</v>
      </c>
      <c r="JH2" s="531" t="str">
        <f>FS2</f>
        <v>Container Stream</v>
      </c>
      <c r="JI2" s="989" t="s">
        <v>118</v>
      </c>
      <c r="JJ2" s="531" t="s">
        <v>372</v>
      </c>
      <c r="JK2" s="989" t="s">
        <v>429</v>
      </c>
      <c r="JL2" s="531" t="s">
        <v>73</v>
      </c>
      <c r="JM2" s="531" t="s">
        <v>352</v>
      </c>
      <c r="JN2" s="531" t="s">
        <v>353</v>
      </c>
      <c r="JS2" s="531" t="s">
        <v>434</v>
      </c>
      <c r="JT2" s="531" t="s">
        <v>132</v>
      </c>
      <c r="JU2" s="989" t="s">
        <v>118</v>
      </c>
      <c r="JV2" s="1008" t="s">
        <v>441</v>
      </c>
      <c r="JX2" s="1008" t="s">
        <v>440</v>
      </c>
      <c r="JY2" s="1008" t="s">
        <v>439</v>
      </c>
      <c r="JZ2" s="516"/>
      <c r="KA2" s="516"/>
      <c r="KB2" s="516"/>
      <c r="KC2" s="516"/>
      <c r="KE2" s="516"/>
      <c r="KF2" s="516"/>
    </row>
    <row r="3" spans="1:292" ht="16.5" customHeight="1" x14ac:dyDescent="0.3">
      <c r="A3" s="535" t="s">
        <v>133</v>
      </c>
      <c r="B3" s="145" t="s">
        <v>134</v>
      </c>
      <c r="C3" s="145" t="s">
        <v>135</v>
      </c>
      <c r="D3" s="145" t="s">
        <v>159</v>
      </c>
      <c r="E3" s="145" t="s">
        <v>137</v>
      </c>
      <c r="F3" s="123"/>
      <c r="G3" s="536"/>
      <c r="H3" s="123"/>
      <c r="I3" s="535" t="s">
        <v>133</v>
      </c>
      <c r="J3" s="145" t="s">
        <v>134</v>
      </c>
      <c r="K3" s="145" t="s">
        <v>135</v>
      </c>
      <c r="L3" s="145" t="s">
        <v>147</v>
      </c>
      <c r="M3" s="145" t="s">
        <v>137</v>
      </c>
      <c r="N3" s="145" t="s">
        <v>138</v>
      </c>
      <c r="O3" s="145" t="s">
        <v>139</v>
      </c>
      <c r="P3" s="145" t="s">
        <v>140</v>
      </c>
      <c r="Q3" s="143" t="s">
        <v>141</v>
      </c>
      <c r="R3" s="123"/>
      <c r="S3" s="536"/>
      <c r="T3" s="123"/>
      <c r="U3" s="535" t="s">
        <v>133</v>
      </c>
      <c r="V3" s="145" t="s">
        <v>134</v>
      </c>
      <c r="W3" s="145" t="s">
        <v>135</v>
      </c>
      <c r="X3" s="145" t="s">
        <v>147</v>
      </c>
      <c r="Y3" s="145" t="s">
        <v>137</v>
      </c>
      <c r="Z3" s="123"/>
      <c r="AA3" s="536"/>
      <c r="AB3" s="123"/>
      <c r="AC3" s="535" t="s">
        <v>133</v>
      </c>
      <c r="AD3" s="145" t="s">
        <v>134</v>
      </c>
      <c r="AE3" s="145" t="s">
        <v>135</v>
      </c>
      <c r="AF3" s="145" t="s">
        <v>147</v>
      </c>
      <c r="AG3" s="123"/>
      <c r="AH3" s="536"/>
      <c r="AI3" s="123"/>
      <c r="AJ3" s="537" t="s">
        <v>133</v>
      </c>
      <c r="AK3" s="145" t="s">
        <v>134</v>
      </c>
      <c r="AL3" s="145" t="s">
        <v>135</v>
      </c>
      <c r="AM3" s="538"/>
      <c r="AN3" s="539"/>
      <c r="AO3" s="538"/>
      <c r="AP3" s="537" t="s">
        <v>133</v>
      </c>
      <c r="AQ3" s="145" t="s">
        <v>134</v>
      </c>
      <c r="AR3" s="145" t="s">
        <v>135</v>
      </c>
      <c r="AS3" s="145" t="s">
        <v>147</v>
      </c>
      <c r="AT3" s="540" t="s">
        <v>137</v>
      </c>
      <c r="AU3" s="145" t="s">
        <v>138</v>
      </c>
      <c r="AV3" s="145" t="s">
        <v>139</v>
      </c>
      <c r="AW3" s="145" t="s">
        <v>140</v>
      </c>
      <c r="AX3" s="145" t="s">
        <v>141</v>
      </c>
      <c r="AY3" s="123" t="s">
        <v>143</v>
      </c>
      <c r="AZ3" s="123" t="s">
        <v>142</v>
      </c>
      <c r="BA3" s="123"/>
      <c r="BB3" s="536"/>
      <c r="BC3" s="143"/>
      <c r="BD3" s="535" t="s">
        <v>133</v>
      </c>
      <c r="BE3" s="145" t="s">
        <v>134</v>
      </c>
      <c r="BF3" s="145" t="s">
        <v>147</v>
      </c>
      <c r="BG3" s="145" t="s">
        <v>137</v>
      </c>
      <c r="BH3" s="123"/>
      <c r="BI3" s="536"/>
      <c r="BJ3" s="123"/>
      <c r="BK3" s="535" t="s">
        <v>133</v>
      </c>
      <c r="BL3" s="145" t="s">
        <v>134</v>
      </c>
      <c r="BM3" s="145" t="s">
        <v>135</v>
      </c>
      <c r="BN3" s="145" t="s">
        <v>159</v>
      </c>
      <c r="BO3" s="145" t="s">
        <v>137</v>
      </c>
      <c r="BP3" s="145" t="s">
        <v>138</v>
      </c>
      <c r="BQ3" s="145" t="s">
        <v>139</v>
      </c>
      <c r="BR3" s="143" t="s">
        <v>140</v>
      </c>
      <c r="BS3" s="143" t="s">
        <v>141</v>
      </c>
      <c r="BT3" s="123"/>
      <c r="BU3" s="536"/>
      <c r="BV3" s="123"/>
      <c r="BW3" s="537" t="s">
        <v>133</v>
      </c>
      <c r="BX3" s="145" t="s">
        <v>134</v>
      </c>
      <c r="BY3" s="145" t="s">
        <v>135</v>
      </c>
      <c r="BZ3" s="145" t="s">
        <v>147</v>
      </c>
      <c r="CA3" s="145" t="s">
        <v>137</v>
      </c>
      <c r="CB3" s="145" t="s">
        <v>138</v>
      </c>
      <c r="CC3" s="145" t="s">
        <v>139</v>
      </c>
      <c r="CD3" s="145" t="s">
        <v>140</v>
      </c>
      <c r="CE3" s="123"/>
      <c r="CF3" s="536"/>
      <c r="CG3" s="123"/>
      <c r="CH3" s="535" t="s">
        <v>133</v>
      </c>
      <c r="CI3" s="145" t="s">
        <v>134</v>
      </c>
      <c r="CJ3" s="145" t="s">
        <v>135</v>
      </c>
      <c r="CK3" s="145" t="s">
        <v>147</v>
      </c>
      <c r="CL3" s="145" t="s">
        <v>137</v>
      </c>
      <c r="CM3" s="145" t="s">
        <v>138</v>
      </c>
      <c r="CN3" s="145" t="s">
        <v>139</v>
      </c>
      <c r="CO3" s="145" t="s">
        <v>140</v>
      </c>
      <c r="CP3" s="145" t="s">
        <v>141</v>
      </c>
      <c r="CQ3" s="145" t="s">
        <v>142</v>
      </c>
      <c r="CR3" s="123"/>
      <c r="CS3" s="536"/>
      <c r="CT3" s="123"/>
      <c r="CU3" s="535" t="s">
        <v>133</v>
      </c>
      <c r="CV3" s="145" t="s">
        <v>134</v>
      </c>
      <c r="CW3" s="145" t="s">
        <v>135</v>
      </c>
      <c r="CX3" s="145" t="s">
        <v>159</v>
      </c>
      <c r="CY3" s="145" t="s">
        <v>137</v>
      </c>
      <c r="CZ3" s="145" t="s">
        <v>160</v>
      </c>
      <c r="DA3" s="145" t="s">
        <v>373</v>
      </c>
      <c r="DB3" s="145" t="s">
        <v>140</v>
      </c>
      <c r="DC3" s="145" t="s">
        <v>374</v>
      </c>
      <c r="DD3" s="123"/>
      <c r="DE3" s="536"/>
      <c r="DF3" s="123"/>
      <c r="DG3" s="535" t="s">
        <v>133</v>
      </c>
      <c r="DH3" s="145" t="s">
        <v>134</v>
      </c>
      <c r="DI3" s="145" t="s">
        <v>135</v>
      </c>
      <c r="DJ3" s="145" t="s">
        <v>147</v>
      </c>
      <c r="DK3" s="145" t="s">
        <v>137</v>
      </c>
      <c r="DL3" s="145" t="s">
        <v>138</v>
      </c>
      <c r="DM3" s="145" t="s">
        <v>139</v>
      </c>
      <c r="DN3" s="145" t="s">
        <v>140</v>
      </c>
      <c r="DO3" s="145" t="s">
        <v>141</v>
      </c>
      <c r="DP3" s="145" t="s">
        <v>142</v>
      </c>
      <c r="DQ3" s="145" t="s">
        <v>143</v>
      </c>
      <c r="DR3" s="145" t="s">
        <v>144</v>
      </c>
      <c r="DS3" s="123"/>
      <c r="DT3" s="536"/>
      <c r="DU3" s="123"/>
      <c r="DV3" s="535" t="s">
        <v>133</v>
      </c>
      <c r="DW3" s="145" t="s">
        <v>134</v>
      </c>
      <c r="DX3" s="145" t="s">
        <v>135</v>
      </c>
      <c r="DY3" s="145" t="s">
        <v>147</v>
      </c>
      <c r="DZ3" s="145" t="s">
        <v>137</v>
      </c>
      <c r="EA3" s="145" t="s">
        <v>160</v>
      </c>
      <c r="EB3" s="123"/>
      <c r="EC3" s="536"/>
      <c r="ED3" s="123"/>
      <c r="EE3" s="535" t="s">
        <v>133</v>
      </c>
      <c r="EF3" s="145" t="s">
        <v>134</v>
      </c>
      <c r="EG3" s="145" t="s">
        <v>135</v>
      </c>
      <c r="EH3" s="145" t="s">
        <v>147</v>
      </c>
      <c r="EI3" s="145" t="s">
        <v>137</v>
      </c>
      <c r="EJ3" s="123"/>
      <c r="EK3" s="536"/>
      <c r="EL3" s="123"/>
      <c r="EM3" s="537" t="s">
        <v>133</v>
      </c>
      <c r="EN3" s="145" t="s">
        <v>134</v>
      </c>
      <c r="EO3" s="145" t="s">
        <v>135</v>
      </c>
      <c r="EP3" s="145" t="s">
        <v>147</v>
      </c>
      <c r="EQ3" s="145" t="s">
        <v>137</v>
      </c>
      <c r="ER3" s="145" t="s">
        <v>138</v>
      </c>
      <c r="ES3" s="145" t="s">
        <v>139</v>
      </c>
      <c r="ET3" s="145" t="s">
        <v>140</v>
      </c>
      <c r="EU3" s="145" t="s">
        <v>141</v>
      </c>
      <c r="EV3" s="145" t="s">
        <v>142</v>
      </c>
      <c r="EW3" s="145" t="s">
        <v>143</v>
      </c>
      <c r="EX3" s="145" t="s">
        <v>144</v>
      </c>
      <c r="EY3" s="123"/>
      <c r="EZ3" s="536"/>
      <c r="FA3" s="123"/>
      <c r="FB3" s="535" t="s">
        <v>133</v>
      </c>
      <c r="FC3" s="145" t="s">
        <v>134</v>
      </c>
      <c r="FD3" s="145" t="s">
        <v>135</v>
      </c>
      <c r="FE3" s="123"/>
      <c r="FF3" s="536"/>
      <c r="FG3" s="123"/>
      <c r="FH3" s="535" t="s">
        <v>133</v>
      </c>
      <c r="FI3" s="145" t="s">
        <v>134</v>
      </c>
      <c r="FJ3" s="145" t="s">
        <v>135</v>
      </c>
      <c r="FK3" s="145" t="s">
        <v>147</v>
      </c>
      <c r="FL3" s="145" t="s">
        <v>137</v>
      </c>
      <c r="FM3" s="145" t="s">
        <v>160</v>
      </c>
      <c r="FN3" s="123"/>
      <c r="FO3" s="541"/>
      <c r="FP3" s="60"/>
      <c r="FQ3" s="535" t="s">
        <v>133</v>
      </c>
      <c r="FR3" s="145" t="s">
        <v>134</v>
      </c>
      <c r="FS3" s="145" t="s">
        <v>135</v>
      </c>
      <c r="FT3" s="145" t="s">
        <v>147</v>
      </c>
      <c r="FU3" s="540" t="s">
        <v>137</v>
      </c>
      <c r="FV3" s="145" t="s">
        <v>138</v>
      </c>
      <c r="FW3" s="145" t="s">
        <v>139</v>
      </c>
      <c r="FX3" s="143" t="s">
        <v>140</v>
      </c>
      <c r="FY3" s="143" t="s">
        <v>141</v>
      </c>
      <c r="FZ3" s="143" t="s">
        <v>142</v>
      </c>
      <c r="GA3" s="542" t="s">
        <v>143</v>
      </c>
      <c r="GB3" s="145" t="s">
        <v>144</v>
      </c>
      <c r="GC3" s="538"/>
      <c r="GD3" s="541"/>
      <c r="GE3" s="60"/>
      <c r="GF3" s="535" t="s">
        <v>133</v>
      </c>
      <c r="GG3" s="145" t="s">
        <v>134</v>
      </c>
      <c r="GH3" s="145" t="s">
        <v>135</v>
      </c>
      <c r="GI3" s="145" t="s">
        <v>147</v>
      </c>
      <c r="GJ3" s="145" t="s">
        <v>137</v>
      </c>
      <c r="GK3" s="540" t="s">
        <v>138</v>
      </c>
      <c r="GL3" s="145" t="s">
        <v>139</v>
      </c>
      <c r="GM3" s="145" t="s">
        <v>140</v>
      </c>
      <c r="GN3" s="143" t="s">
        <v>141</v>
      </c>
      <c r="GO3" s="143" t="s">
        <v>142</v>
      </c>
      <c r="GP3" s="143" t="s">
        <v>143</v>
      </c>
      <c r="GQ3" s="145" t="s">
        <v>144</v>
      </c>
      <c r="GU3" s="535" t="s">
        <v>133</v>
      </c>
      <c r="GV3" s="145" t="s">
        <v>134</v>
      </c>
      <c r="GW3" s="145" t="s">
        <v>135</v>
      </c>
      <c r="GX3" s="145" t="s">
        <v>147</v>
      </c>
      <c r="GY3" s="542" t="s">
        <v>137</v>
      </c>
      <c r="GZ3" s="145" t="s">
        <v>138</v>
      </c>
      <c r="HA3" s="145" t="s">
        <v>139</v>
      </c>
      <c r="HB3" s="145" t="s">
        <v>140</v>
      </c>
      <c r="HC3" s="145" t="s">
        <v>141</v>
      </c>
      <c r="HD3" s="538"/>
      <c r="HG3" s="535" t="s">
        <v>133</v>
      </c>
      <c r="HH3" s="145" t="s">
        <v>134</v>
      </c>
      <c r="HI3" s="145" t="s">
        <v>135</v>
      </c>
      <c r="HJ3" s="145" t="s">
        <v>147</v>
      </c>
      <c r="HK3" s="542" t="s">
        <v>137</v>
      </c>
      <c r="HL3" s="145" t="s">
        <v>138</v>
      </c>
      <c r="HM3" s="538"/>
      <c r="HP3" s="535" t="s">
        <v>133</v>
      </c>
      <c r="HQ3" s="145" t="s">
        <v>134</v>
      </c>
      <c r="HR3" s="145" t="s">
        <v>135</v>
      </c>
      <c r="HS3" s="145" t="s">
        <v>147</v>
      </c>
      <c r="HT3" s="145" t="s">
        <v>137</v>
      </c>
      <c r="HU3" s="145" t="s">
        <v>138</v>
      </c>
      <c r="HV3" s="540" t="s">
        <v>139</v>
      </c>
      <c r="HW3" s="540" t="s">
        <v>140</v>
      </c>
      <c r="HX3" s="540" t="s">
        <v>141</v>
      </c>
      <c r="HY3" s="123"/>
      <c r="HZ3" s="536"/>
      <c r="IB3" s="145" t="s">
        <v>134</v>
      </c>
      <c r="IC3" s="145" t="s">
        <v>135</v>
      </c>
      <c r="ID3" s="145" t="s">
        <v>147</v>
      </c>
      <c r="IE3" s="145" t="s">
        <v>137</v>
      </c>
      <c r="IF3" s="145" t="s">
        <v>138</v>
      </c>
      <c r="IG3" s="145" t="s">
        <v>139</v>
      </c>
      <c r="IH3" s="145" t="s">
        <v>140</v>
      </c>
      <c r="II3" s="145" t="s">
        <v>141</v>
      </c>
      <c r="IJ3" s="145" t="s">
        <v>142</v>
      </c>
      <c r="IK3" s="145" t="s">
        <v>143</v>
      </c>
      <c r="IL3" s="123"/>
      <c r="IM3" s="536"/>
      <c r="IN3" s="123"/>
      <c r="IO3" s="535" t="s">
        <v>133</v>
      </c>
      <c r="IP3" s="145" t="s">
        <v>134</v>
      </c>
      <c r="IQ3" s="145" t="s">
        <v>135</v>
      </c>
      <c r="IR3" s="145" t="s">
        <v>147</v>
      </c>
      <c r="IS3" s="145" t="s">
        <v>137</v>
      </c>
      <c r="IT3" s="145" t="s">
        <v>138</v>
      </c>
      <c r="IU3" s="145" t="s">
        <v>139</v>
      </c>
      <c r="IV3" s="143" t="s">
        <v>140</v>
      </c>
      <c r="IW3" s="143" t="s">
        <v>141</v>
      </c>
      <c r="IX3" s="143" t="s">
        <v>142</v>
      </c>
      <c r="IY3" s="143" t="s">
        <v>143</v>
      </c>
      <c r="IZ3" s="143" t="s">
        <v>144</v>
      </c>
      <c r="JA3" s="143" t="s">
        <v>145</v>
      </c>
      <c r="JB3" s="143" t="s">
        <v>146</v>
      </c>
      <c r="JF3" s="535" t="s">
        <v>133</v>
      </c>
      <c r="JG3" s="145" t="s">
        <v>134</v>
      </c>
      <c r="JH3" s="145" t="s">
        <v>135</v>
      </c>
      <c r="JI3" s="145" t="s">
        <v>147</v>
      </c>
      <c r="JJ3" s="145" t="s">
        <v>137</v>
      </c>
      <c r="JK3" s="145" t="s">
        <v>138</v>
      </c>
      <c r="JL3" s="540" t="s">
        <v>139</v>
      </c>
      <c r="JM3" s="540" t="s">
        <v>140</v>
      </c>
      <c r="JN3" s="540" t="s">
        <v>141</v>
      </c>
      <c r="JS3" s="145" t="s">
        <v>137</v>
      </c>
      <c r="JT3" s="145"/>
      <c r="JU3" s="145"/>
      <c r="JV3" s="145"/>
      <c r="JZ3" s="516"/>
      <c r="KA3" s="1013" t="s">
        <v>448</v>
      </c>
      <c r="KB3" s="516"/>
      <c r="KC3" s="516"/>
      <c r="KE3" s="516"/>
      <c r="KF3" s="516"/>
    </row>
    <row r="4" spans="1:292" ht="17.25" thickBot="1" x14ac:dyDescent="0.35">
      <c r="A4" s="543">
        <v>1</v>
      </c>
      <c r="B4" s="645" t="s">
        <v>46</v>
      </c>
      <c r="C4" s="646">
        <f>'ABDA 3 month Phase I'!MC14</f>
        <v>40079129.41740948</v>
      </c>
      <c r="D4" s="647">
        <f t="shared" ref="D4:D12" si="0">C4/$C$13</f>
        <v>0.30920746854395115</v>
      </c>
      <c r="E4" s="986">
        <v>1.8263026622357388</v>
      </c>
      <c r="I4" s="543">
        <v>1</v>
      </c>
      <c r="J4" s="654">
        <f t="shared" ref="J4:J27" si="1">FR4</f>
        <v>1</v>
      </c>
      <c r="K4" s="655" t="s">
        <v>380</v>
      </c>
      <c r="L4" s="991">
        <v>1110103150.236172</v>
      </c>
      <c r="M4" s="657">
        <f t="shared" ref="M4:M27" si="2">L4/$L$28</f>
        <v>0.50584540335647865</v>
      </c>
      <c r="N4" s="656">
        <v>2193</v>
      </c>
      <c r="O4" s="656">
        <f>IFERROR(L4/N4,0)</f>
        <v>506202.98688379937</v>
      </c>
      <c r="P4" s="657">
        <f t="shared" ref="P4:P27" si="3">O4/$O$28</f>
        <v>0.28403587993114016</v>
      </c>
      <c r="Q4" s="658" t="s">
        <v>379</v>
      </c>
      <c r="U4" s="545">
        <v>1</v>
      </c>
      <c r="V4" s="669">
        <f t="shared" ref="V4:V27" si="4">FR4</f>
        <v>1</v>
      </c>
      <c r="W4" s="655" t="s">
        <v>380</v>
      </c>
      <c r="X4" s="646">
        <f>SUM(FT4:FX4)</f>
        <v>33412592.24411723</v>
      </c>
      <c r="Y4" s="657">
        <f t="shared" ref="Y4:Y27" si="5">SUM(FT4:FX4)/SUM($FT$28:$FX$28)</f>
        <v>0.34543329480725349</v>
      </c>
      <c r="AC4" s="545">
        <v>1</v>
      </c>
      <c r="AD4" s="678">
        <v>1</v>
      </c>
      <c r="AE4" s="679" t="s">
        <v>380</v>
      </c>
      <c r="AF4" s="680">
        <v>1.94</v>
      </c>
      <c r="AJ4" s="545">
        <v>1</v>
      </c>
      <c r="AK4" s="687" t="s">
        <v>376</v>
      </c>
      <c r="AL4" s="689">
        <f>C4+C5</f>
        <v>42073467.157312982</v>
      </c>
      <c r="AM4" s="546"/>
      <c r="AN4" s="547"/>
      <c r="AO4" s="546"/>
      <c r="AP4" s="545">
        <v>1</v>
      </c>
      <c r="AQ4" s="693">
        <f t="shared" ref="AQ4:AQ27" si="6">FR4</f>
        <v>1</v>
      </c>
      <c r="AR4" s="655" t="s">
        <v>380</v>
      </c>
      <c r="AS4" s="655">
        <f t="shared" ref="AS4:AS27" si="7">VLOOKUP(AQ4,$AD$4:$AF$27,$AS$30,FALSE)</f>
        <v>1.94</v>
      </c>
      <c r="AT4" s="694">
        <f>L4</f>
        <v>1110103150.236172</v>
      </c>
      <c r="AU4" s="694">
        <f>AT4*AS4/3600</f>
        <v>598222.2531828261</v>
      </c>
      <c r="AV4" s="695">
        <f t="shared" ref="AV4:AV27" si="8">AU4*$AL$5/$AU$28</f>
        <v>617776.07691090775</v>
      </c>
      <c r="AW4" s="696">
        <f t="shared" ref="AW4:AW27" si="9">$AL$6</f>
        <v>21.592508896755888</v>
      </c>
      <c r="AX4" s="646">
        <f>AV4*AW4</f>
        <v>13339335.436901726</v>
      </c>
      <c r="AY4" s="544">
        <f>AX4/$AX$28</f>
        <v>0.31704863749464396</v>
      </c>
      <c r="AZ4" s="548">
        <f t="shared" ref="AZ4:AZ27" si="10">IF($AT4=0,0,ROUND(IF(VLOOKUP(AQ4,$AQ$4:$AT$27,$AZ$30,FALSE)&lt;&gt;0,AX4/VLOOKUP(AQ4,$AQ$4:$AT$27,$AZ$30,FALSE)*100,""),6))</f>
        <v>1.20163</v>
      </c>
      <c r="BD4" s="543">
        <v>1</v>
      </c>
      <c r="BE4" s="655" t="str">
        <f>AY2</f>
        <v>Direct and Collector Labour Allocator</v>
      </c>
      <c r="BF4" s="657">
        <v>0.5</v>
      </c>
      <c r="BG4" s="646">
        <f>BF4*$BG$6</f>
        <v>9586712.8881295025</v>
      </c>
      <c r="BK4" s="543">
        <v>1</v>
      </c>
      <c r="BL4" s="658">
        <f t="shared" ref="BL4:BL27" si="11">FR4</f>
        <v>1</v>
      </c>
      <c r="BM4" s="655" t="s">
        <v>380</v>
      </c>
      <c r="BN4" s="657">
        <f>VLOOKUP(BL4,$AQ$4:$AY$28,$BN$33,FALSE)</f>
        <v>0.31704863749464396</v>
      </c>
      <c r="BO4" s="646">
        <f>BN4*$BO$28</f>
        <v>3039454.2592338021</v>
      </c>
      <c r="BP4" s="657">
        <f>VLOOKUP(BL4,$J$4:$M$27,$BP$33,FALSE)</f>
        <v>0.50584540335647865</v>
      </c>
      <c r="BQ4" s="646">
        <f>BP4*$BQ$28</f>
        <v>4849394.6477586208</v>
      </c>
      <c r="BR4" s="708">
        <f t="shared" ref="BR4:BR27" si="12">BQ4+BO4</f>
        <v>7888848.9069924224</v>
      </c>
      <c r="BS4" s="709">
        <f t="shared" ref="BS4:BS27" si="13">IF($AT4=0,0,ROUND(IF(VLOOKUP(BL4,$AQ$4:$AT$27,$AZ$30,FALSE)&lt;&gt;0,BR4/VLOOKUP(BL4,$AQ$4:$AT$27,$AZ$30,FALSE)*100,""),6))</f>
        <v>0.71064099999999997</v>
      </c>
      <c r="BW4" s="543">
        <v>1</v>
      </c>
      <c r="BX4" s="655" t="s">
        <v>377</v>
      </c>
      <c r="BY4" s="647">
        <v>7.564777291050645E-2</v>
      </c>
      <c r="BZ4" s="715">
        <f>BY4*$BZ$9</f>
        <v>1896770.8291299783</v>
      </c>
      <c r="CA4" s="648">
        <v>1</v>
      </c>
      <c r="CB4" s="648"/>
      <c r="CC4" s="715">
        <f t="shared" ref="CC4:CD8" si="14">CA4*$BZ4</f>
        <v>1896770.8291299783</v>
      </c>
      <c r="CD4" s="715">
        <f t="shared" si="14"/>
        <v>0</v>
      </c>
      <c r="CH4" s="543">
        <v>1</v>
      </c>
      <c r="CI4" s="678">
        <f t="shared" ref="CI4:CI27" si="15">FR4</f>
        <v>1</v>
      </c>
      <c r="CJ4" s="655" t="s">
        <v>380</v>
      </c>
      <c r="CK4" s="657">
        <f t="shared" ref="CK4:CK27" si="16">VLOOKUP(CI4,$J$4:$M$27,$CK$32,FALSE)</f>
        <v>0.50584540335647865</v>
      </c>
      <c r="CL4" s="646">
        <f t="shared" ref="CL4:CL27" si="17">CK4*$CL$28</f>
        <v>2965133.6159629449</v>
      </c>
      <c r="CM4" s="657">
        <f t="shared" ref="CM4:CM27" si="18">VLOOKUP(CI4,$J$4:$P$27,$CM$32,FALSE)</f>
        <v>0.28403587993114016</v>
      </c>
      <c r="CN4" s="646">
        <f t="shared" ref="CN4:CN27" si="19">CM4*$CN$28</f>
        <v>5456891.0628178651</v>
      </c>
      <c r="CO4" s="646">
        <f t="shared" ref="CO4:CO27" si="20">CN4+CL4</f>
        <v>8422024.678780809</v>
      </c>
      <c r="CP4" s="657">
        <f t="shared" ref="CP4:CP27" si="21">CO4/$CO$28</f>
        <v>0.33589055702597637</v>
      </c>
      <c r="CQ4" s="709">
        <f t="shared" ref="CQ4:CQ27" si="22">IF($AT4=0,0,ROUND(IF(VLOOKUP(CI4,$AQ$4:$AT$27,$AZ$30,FALSE)&lt;&gt;0,CO4/VLOOKUP(CI4,$AQ$4:$AT$27,$AZ$30,FALSE)*100,""),6))</f>
        <v>0.75866999999999996</v>
      </c>
      <c r="CU4" s="543">
        <v>1</v>
      </c>
      <c r="CV4" s="731" t="s">
        <v>375</v>
      </c>
      <c r="CW4" s="657">
        <v>0</v>
      </c>
      <c r="CX4" s="657">
        <v>0.5</v>
      </c>
      <c r="CY4" s="732">
        <v>0.5</v>
      </c>
      <c r="CZ4" s="646">
        <f>CW4*$DC4</f>
        <v>0</v>
      </c>
      <c r="DA4" s="646">
        <f t="shared" ref="CZ4:DB6" si="23">CX4*$DC4</f>
        <v>2448135.5093462113</v>
      </c>
      <c r="DB4" s="646">
        <f t="shared" si="23"/>
        <v>2448135.5093462113</v>
      </c>
      <c r="DC4" s="646">
        <v>4896271.0186924227</v>
      </c>
      <c r="DG4" s="545">
        <v>1</v>
      </c>
      <c r="DH4" s="739">
        <f t="shared" ref="DH4:DH27" si="24">FR4</f>
        <v>1</v>
      </c>
      <c r="DI4" s="655" t="s">
        <v>380</v>
      </c>
      <c r="DJ4" s="657">
        <f t="shared" ref="DJ4:DJ27" si="25">VLOOKUP(DH4,$CI$4:$CP$27,$DJ$33,FALSE)</f>
        <v>0.33589055702597637</v>
      </c>
      <c r="DK4" s="646">
        <f>DJ4*$DK$28</f>
        <v>126528.20422565228</v>
      </c>
      <c r="DL4" s="657">
        <f t="shared" ref="DL4:DL27" si="26">VLOOKUP(DH4,$J$4:$Q$27,$DL$33,FALSE)</f>
        <v>0.28403587993114016</v>
      </c>
      <c r="DM4" s="646">
        <f t="shared" ref="DM4:DM27" si="27">DL4*$DM$28</f>
        <v>695358.3235878211</v>
      </c>
      <c r="DN4" s="657">
        <f t="shared" ref="DN4:DN27" si="28">VLOOKUP(DH4,$J$4:$Q$27,$DN$33,FALSE)</f>
        <v>0.50584540335647865</v>
      </c>
      <c r="DO4" s="646">
        <f t="shared" ref="DO4:DO27" si="29">DN4*$DO$28</f>
        <v>1795176.5483980589</v>
      </c>
      <c r="DP4" s="646">
        <f>DK4+DM4+DO4</f>
        <v>2617063.0762115321</v>
      </c>
      <c r="DQ4" s="657">
        <f t="shared" ref="DQ4:DQ27" si="30">DP4/$DP$28</f>
        <v>0.41060379906643291</v>
      </c>
      <c r="DR4" s="709">
        <f t="shared" ref="DR4:DR27" si="31">IF($AT4=0,0,ROUND(IF(VLOOKUP(DH4,$AQ$4:$AT$27,$AZ$30,FALSE)&lt;&gt;0,DP4/VLOOKUP(DH4,$AQ$4:$AT$27,$AZ$30,FALSE)*100,""),6))</f>
        <v>0.23574999999999999</v>
      </c>
      <c r="DV4" s="545">
        <v>1</v>
      </c>
      <c r="DW4" s="739">
        <f t="shared" ref="DW4:DW27" si="32">GG4</f>
        <v>1</v>
      </c>
      <c r="DX4" s="655" t="s">
        <v>380</v>
      </c>
      <c r="DY4" s="657">
        <f t="shared" ref="DY4:DY27" si="33">VLOOKUP(DW4,$J$4:$Q$27,$DY$33,FALSE)</f>
        <v>0.28403587993114016</v>
      </c>
      <c r="DZ4" s="646">
        <f t="shared" ref="DZ4:DZ27" si="34">DY4*$DZ$28</f>
        <v>1145320.1452307445</v>
      </c>
      <c r="EA4" s="709">
        <f t="shared" ref="EA4:EA27" si="35">IF($AT4=0,0,ROUND(IF(VLOOKUP(DW4,$AQ$4:$AT$27,$AZ$30,FALSE)&lt;&gt;0,DZ4/VLOOKUP(DW4,$AQ$4:$AT$27,$AZ$30,FALSE)*100,""),6))</f>
        <v>0.103172</v>
      </c>
      <c r="EE4" s="543">
        <v>1</v>
      </c>
      <c r="EF4" s="655" t="s">
        <v>378</v>
      </c>
      <c r="EG4" s="646">
        <v>7182993.5611227266</v>
      </c>
      <c r="EH4" s="647">
        <f>EG4/$EG$7</f>
        <v>0.59682952418247304</v>
      </c>
      <c r="EI4" s="646">
        <f>EH4*$EI$7</f>
        <v>7861554.9348081611</v>
      </c>
      <c r="EM4" s="545">
        <v>1</v>
      </c>
      <c r="EN4" s="739">
        <f t="shared" ref="EN4:EN27" si="36">FR4</f>
        <v>1</v>
      </c>
      <c r="EO4" s="655" t="s">
        <v>380</v>
      </c>
      <c r="EP4" s="657">
        <f t="shared" ref="EP4:EP27" si="37">VLOOKUP(EN4,$V$4:$Y$27,$EP$33,FALSE)</f>
        <v>0.34543329480725349</v>
      </c>
      <c r="EQ4" s="646">
        <f t="shared" ref="EQ4:EQ27" si="38">EP4*$EQ$28</f>
        <v>2715642.8234390058</v>
      </c>
      <c r="ER4" s="657">
        <f t="shared" ref="ER4:ER27" si="39">VLOOKUP(EN4,$CI$4:$CP$27,$ER$33,FALSE)</f>
        <v>0.33589055702597637</v>
      </c>
      <c r="ES4" s="646">
        <f t="shared" ref="ES4:ES27" si="40">ER4*$ES$28</f>
        <v>340860.07710875431</v>
      </c>
      <c r="ET4" s="657">
        <f t="shared" ref="ET4:ET27" si="41">VLOOKUP(EN4,$J$4:$M$27,$ET$33,FALSE)</f>
        <v>0.50584540335647865</v>
      </c>
      <c r="EU4" s="646">
        <f t="shared" ref="EU4:EU27" si="42">ET4*$EU$28</f>
        <v>2173033.5019996017</v>
      </c>
      <c r="EV4" s="646">
        <f t="shared" ref="EV4:EV27" si="43">EQ4+ES4+EU4</f>
        <v>5229536.4025473613</v>
      </c>
      <c r="EW4" s="657">
        <f t="shared" ref="EW4:EW27" si="44">EV4/$EV$28</f>
        <v>0.39701328155934668</v>
      </c>
      <c r="EX4" s="709">
        <f t="shared" ref="EX4:EX27" si="45">IF($AT4=0,0,ROUND(IF(VLOOKUP(EN4,$AQ$4:$AT$27,$AZ$30,FALSE)&lt;&gt;0,EV4/VLOOKUP(EN4,$AQ$4:$AT$27,$AZ$30,FALSE)*100,""),6))</f>
        <v>0.471086</v>
      </c>
      <c r="FB4" s="543">
        <v>1</v>
      </c>
      <c r="FC4" s="645" t="s">
        <v>232</v>
      </c>
      <c r="FD4" s="646">
        <f>C11</f>
        <v>20057182.17560488</v>
      </c>
      <c r="FH4" s="545">
        <v>1</v>
      </c>
      <c r="FI4" s="669">
        <f t="shared" ref="FI4:FI27" si="46">FR4</f>
        <v>1</v>
      </c>
      <c r="FJ4" s="655" t="s">
        <v>380</v>
      </c>
      <c r="FK4" s="657">
        <f t="shared" ref="FK4:FK28" si="47">Y4</f>
        <v>0.34543329480725349</v>
      </c>
      <c r="FL4" s="646">
        <f t="shared" ref="FL4:FL27" si="48">Y4*$FL$28</f>
        <v>6812545.3889743621</v>
      </c>
      <c r="FM4" s="709">
        <f t="shared" ref="FM4:FM27" si="49">IF($AT4=0,0,ROUND(IF(VLOOKUP(FI4,$AQ$4:$AT$27,$AZ$30,FALSE)&lt;&gt;0,FL4/VLOOKUP(FI4,$AQ$4:$AT$27,$AZ$30,FALSE)*100,""),6))</f>
        <v>0.61368599999999995</v>
      </c>
      <c r="FQ4" s="543">
        <v>1</v>
      </c>
      <c r="FR4" s="669">
        <v>1</v>
      </c>
      <c r="FS4" s="655" t="s">
        <v>380</v>
      </c>
      <c r="FT4" s="646">
        <f t="shared" ref="FT4:FT27" si="50">VLOOKUP(FR4,$AQ$4:$AZ$27,$FT$33,FALSE)</f>
        <v>13339335.436901726</v>
      </c>
      <c r="FU4" s="646">
        <f t="shared" ref="FU4:FU27" si="51">VLOOKUP(FR4,$BL$4:$BS$86,$FU$33,FALSE)</f>
        <v>7888848.9069924224</v>
      </c>
      <c r="FV4" s="646">
        <f t="shared" ref="FV4:FV27" si="52">VLOOKUP(FR4,$CI$4:$CQ$27,$FV$33,FALSE)</f>
        <v>8422024.678780809</v>
      </c>
      <c r="FW4" s="646">
        <f>VLOOKUP(FR4,$DH$4:$DP$27,$FW$33,FALSE)</f>
        <v>2617063.0762115321</v>
      </c>
      <c r="FX4" s="646">
        <f t="shared" ref="FX4:FX27" si="53">VLOOKUP(FR4,$DW$4:$EA$27,$FX$33,FALSE)</f>
        <v>1145320.1452307445</v>
      </c>
      <c r="FY4" s="646">
        <f t="shared" ref="FY4:FY27" si="54">VLOOKUP(FR4,$EN$4:$EV$28,$FY$34,FALSE)</f>
        <v>5229536.4025473613</v>
      </c>
      <c r="FZ4" s="646">
        <f t="shared" ref="FZ4:FZ27" si="55">VLOOKUP(FR4,$FI$4:$FL$27,$FZ$33,FALSE)</f>
        <v>6812545.3889743621</v>
      </c>
      <c r="GA4" s="646">
        <f t="shared" ref="GA4:GA24" si="56">SUM(FT4:FZ4)</f>
        <v>45454674.035638951</v>
      </c>
      <c r="GB4" s="746">
        <f t="shared" ref="GB4:GB27" si="57">IF($AT4=0,0,ROUND(IF(VLOOKUP(FR4,$AQ$4:$AT$27,$AZ$30,FALSE)&lt;&gt;0,GA4/VLOOKUP(FR4,$AQ$4:$AT$27,$AZ$30,FALSE)*100,""),6))</f>
        <v>4.0946350000000002</v>
      </c>
      <c r="GF4" s="545">
        <v>1</v>
      </c>
      <c r="GG4" s="669">
        <f t="shared" ref="GG4:GG27" si="58">FR4</f>
        <v>1</v>
      </c>
      <c r="GH4" s="655" t="s">
        <v>380</v>
      </c>
      <c r="GI4" s="709">
        <f t="shared" ref="GI4:GI27" si="59">VLOOKUP(GG4,$AQ$4:$AZ$27,$GI$31,FALSE)</f>
        <v>1.20163</v>
      </c>
      <c r="GJ4" s="709">
        <f t="shared" ref="GJ4:GJ27" si="60">VLOOKUP(GG4,$BL$4:$BS$27,$GJ$31,FALSE)</f>
        <v>0.71064099999999997</v>
      </c>
      <c r="GK4" s="709">
        <f t="shared" ref="GK4:GK27" si="61">VLOOKUP(GG4,$CI$4:$CQ$27,$GK$31,FALSE)</f>
        <v>0.75866999999999996</v>
      </c>
      <c r="GL4" s="709">
        <f t="shared" ref="GL4:GL27" si="62">VLOOKUP(GG4,$DH$4:$DR$27,$GL$31,FALSE)</f>
        <v>0.23574999999999999</v>
      </c>
      <c r="GM4" s="709">
        <f t="shared" ref="GM4:GM27" si="63">VLOOKUP(GG4,$DW$4:$EA$27,$GM$31,FALSE)</f>
        <v>0.103172</v>
      </c>
      <c r="GN4" s="709">
        <f t="shared" ref="GN4:GN27" si="64">VLOOKUP(GG4,$EN$4:$EX$28,$GN$31,FALSE)</f>
        <v>0.471086</v>
      </c>
      <c r="GO4" s="709">
        <f t="shared" ref="GO4:GO27" si="65">VLOOKUP(GG4,$FI$4:$FM$27,$GO$31,FALSE)</f>
        <v>0.61368599999999995</v>
      </c>
      <c r="GP4" s="709">
        <f t="shared" ref="GP4:GP27" si="66">VLOOKUP(GG4,$FR$4:$GB$27,$GP$31,FALSE)</f>
        <v>4.0946350000000002</v>
      </c>
      <c r="GQ4" s="656">
        <f>L4</f>
        <v>1110103150.236172</v>
      </c>
      <c r="GR4" s="530"/>
      <c r="GU4" s="543">
        <v>1</v>
      </c>
      <c r="GV4" s="669">
        <f t="shared" ref="GV4:GV27" si="67">FR4</f>
        <v>1</v>
      </c>
      <c r="GW4" s="655" t="s">
        <v>380</v>
      </c>
      <c r="GX4" s="658" t="s">
        <v>379</v>
      </c>
      <c r="GY4" s="646">
        <f t="shared" ref="GY4:GY27" si="68">GA4</f>
        <v>45454674.035638951</v>
      </c>
      <c r="GZ4" s="656">
        <f t="shared" ref="GZ4:GZ27" si="69">VLOOKUP(GV4,$GG$4:$GQ$27,$GZ$34,FALSE)</f>
        <v>1110103150.236172</v>
      </c>
      <c r="HA4" s="709">
        <f>IF(GW4="Specialty Containers",$HA$31,ROUND(IF(GZ4&lt;&gt;0,GY4/GZ4*100,0),6))</f>
        <v>4.0946350000000002</v>
      </c>
      <c r="HB4" s="646">
        <f t="shared" ref="HB4:HB27" si="70">ROUND(HA4,10)*GZ4/100</f>
        <v>45454672.125672884</v>
      </c>
      <c r="HC4" s="749">
        <f t="shared" ref="HC4:HC27" si="71">HB4-GY4</f>
        <v>-1.9099660664796829</v>
      </c>
      <c r="HD4" s="549"/>
      <c r="HG4" s="543">
        <v>1</v>
      </c>
      <c r="HH4" s="655" t="s">
        <v>379</v>
      </c>
      <c r="HI4" s="752">
        <f>SUMIF($GX$4:$GX$27,$HH4,GY$4:GY$27)</f>
        <v>127283858.82163535</v>
      </c>
      <c r="HJ4" s="753">
        <f>HI4/HI$6</f>
        <v>0.98197286189923061</v>
      </c>
      <c r="HK4" s="752">
        <f>SUMIF($GX$4:$GX$27,$HH4,HB$4:HB$27)</f>
        <v>127283855.28269516</v>
      </c>
      <c r="HL4" s="749">
        <f>SUMIF($GX$4:$GX$27,$HH4,HC$4:HC$27)</f>
        <v>-3.5389402125508695</v>
      </c>
      <c r="HM4" s="549"/>
      <c r="HP4" s="545">
        <v>1</v>
      </c>
      <c r="HQ4" s="761">
        <f t="shared" ref="HQ4:HQ27" si="72">FR4</f>
        <v>1</v>
      </c>
      <c r="HR4" s="655" t="s">
        <v>380</v>
      </c>
      <c r="HS4" s="656">
        <f>L4</f>
        <v>1110103150.236172</v>
      </c>
      <c r="HT4" s="756">
        <f>HA4</f>
        <v>4.0946350000000002</v>
      </c>
      <c r="HU4" s="756">
        <v>3.5634269999999999</v>
      </c>
      <c r="HV4" s="647">
        <f>IF(HU4&lt;&gt;0,HT4/HU4-1,"")</f>
        <v>0.14907222738111381</v>
      </c>
      <c r="HW4" s="756">
        <f>HT4-HU4</f>
        <v>0.53120800000000035</v>
      </c>
      <c r="HX4" s="648">
        <v>10</v>
      </c>
      <c r="IB4" s="764">
        <f>'ABDA 3 month Phase I'!HE26</f>
        <v>2194071252</v>
      </c>
      <c r="IC4" s="764">
        <f>'ABDA 3 month Phase I'!JI26</f>
        <v>2194550237.8201146</v>
      </c>
      <c r="ID4" s="765">
        <f>(IC4-IB4)/IB4</f>
        <v>2.183091454655332E-4</v>
      </c>
      <c r="IE4" s="764">
        <v>1500000</v>
      </c>
      <c r="IF4" s="766">
        <f>HT28</f>
        <v>5.9064741652507724</v>
      </c>
      <c r="IG4" s="767">
        <f>IF4*IC4/100</f>
        <v>129620542.84029445</v>
      </c>
      <c r="IH4" s="768">
        <v>1.4999999999999999E-2</v>
      </c>
      <c r="II4" s="990">
        <v>316639920</v>
      </c>
      <c r="IJ4" s="765">
        <f>II4/IC4</f>
        <v>0.14428465320280115</v>
      </c>
      <c r="IK4" s="765">
        <f>SUM(HS8,HS15,HS17,HS23:HS24,HS27)/HS28</f>
        <v>1.414768995619569E-2</v>
      </c>
      <c r="IO4" s="545">
        <v>1</v>
      </c>
      <c r="IP4" s="761">
        <v>1</v>
      </c>
      <c r="IQ4" s="655" t="s">
        <v>380</v>
      </c>
      <c r="IR4" s="769">
        <f>GY4</f>
        <v>45454674.035638951</v>
      </c>
      <c r="IS4" s="770">
        <f>GZ4</f>
        <v>1110103150.236172</v>
      </c>
      <c r="IT4" s="771">
        <f>HA4</f>
        <v>4.0946350000000002</v>
      </c>
      <c r="IU4" s="656">
        <f>IS4*$IJ$4/(1-$IK$4)</f>
        <v>162469414.96140155</v>
      </c>
      <c r="IV4" s="656">
        <f>IS4-IU4</f>
        <v>947633735.27477038</v>
      </c>
      <c r="IW4" s="769">
        <f>IU4*$IH$4</f>
        <v>2437041.2244210234</v>
      </c>
      <c r="IX4" s="769">
        <f>IR4-IW4</f>
        <v>43017632.811217926</v>
      </c>
      <c r="IY4" s="550">
        <f>IX4/IS4*100</f>
        <v>3.8751023093724237</v>
      </c>
      <c r="IZ4" s="550">
        <f>IY4+1.5</f>
        <v>5.3751023093724237</v>
      </c>
      <c r="JA4" s="769">
        <f>(IY4*IV4+IZ4*IU4)/100</f>
        <v>45454674.035638943</v>
      </c>
      <c r="JB4" s="746">
        <f>IT4-IY4</f>
        <v>0.21953269062757652</v>
      </c>
      <c r="JF4" s="545">
        <v>1</v>
      </c>
      <c r="JG4" s="761">
        <f t="shared" ref="JG4:JG27" si="73">FR4</f>
        <v>1</v>
      </c>
      <c r="JH4" s="655" t="s">
        <v>380</v>
      </c>
      <c r="JI4" s="656">
        <f>L4</f>
        <v>1110103150.236172</v>
      </c>
      <c r="JJ4" s="756">
        <f>IY4</f>
        <v>3.8751023093724237</v>
      </c>
      <c r="JK4" s="756">
        <v>3.3411942282427152</v>
      </c>
      <c r="JL4" s="647">
        <f>IF(JK4&lt;&gt;0,JJ4/JK4-1,"")</f>
        <v>0.15979558345236189</v>
      </c>
      <c r="JM4" s="756">
        <f>JJ4-JK4</f>
        <v>0.53390808112970856</v>
      </c>
      <c r="JN4" s="648">
        <v>10</v>
      </c>
      <c r="JS4" s="756">
        <v>3.8846481496862171</v>
      </c>
      <c r="JT4" s="756">
        <f>JJ4-JS4</f>
        <v>-9.5458403137933523E-3</v>
      </c>
      <c r="JU4" s="1009">
        <v>1105379295</v>
      </c>
      <c r="JV4" s="1009">
        <f>JU4-JI4</f>
        <v>-4723855.2361719608</v>
      </c>
      <c r="JW4" s="978">
        <f>JT4/JS4</f>
        <v>-2.4573243047930657E-3</v>
      </c>
      <c r="JX4" s="997">
        <v>42940096.330232054</v>
      </c>
      <c r="JY4" s="997">
        <f>JI4*JJ4/100</f>
        <v>43017632.811217926</v>
      </c>
      <c r="JZ4" s="516"/>
      <c r="KA4" s="516" t="s">
        <v>442</v>
      </c>
      <c r="KB4" s="997">
        <f>SUMPRODUCT(JV4:JV27,JS4:JS27)/100</f>
        <v>-715091.40080883773</v>
      </c>
      <c r="KC4" s="516"/>
      <c r="KE4" s="516"/>
      <c r="KF4" s="516"/>
    </row>
    <row r="5" spans="1:292" ht="16.5" x14ac:dyDescent="0.3">
      <c r="A5" s="222">
        <v>2</v>
      </c>
      <c r="B5" s="649" t="s">
        <v>57</v>
      </c>
      <c r="C5" s="650">
        <f>'ABDA 3 month Phase I'!MC15</f>
        <v>1994337.7399035022</v>
      </c>
      <c r="D5" s="651">
        <f t="shared" si="0"/>
        <v>1.5386165641346532E-2</v>
      </c>
      <c r="E5" s="986">
        <v>9.0876832324627621E-2</v>
      </c>
      <c r="I5" s="222">
        <f>+I4+1</f>
        <v>2</v>
      </c>
      <c r="J5" s="659">
        <f t="shared" si="1"/>
        <v>2</v>
      </c>
      <c r="K5" s="660" t="s">
        <v>385</v>
      </c>
      <c r="L5" s="991">
        <v>951536.76436036197</v>
      </c>
      <c r="M5" s="662">
        <f t="shared" si="2"/>
        <v>4.3359078683272259E-4</v>
      </c>
      <c r="N5" s="661">
        <v>114</v>
      </c>
      <c r="O5" s="661">
        <f t="shared" ref="O5:O27" si="74">IFERROR(L5/N5,0)</f>
        <v>8346.8137224593156</v>
      </c>
      <c r="P5" s="662">
        <f t="shared" si="3"/>
        <v>4.6834859566410878E-3</v>
      </c>
      <c r="Q5" s="663" t="s">
        <v>379</v>
      </c>
      <c r="U5" s="551">
        <f>+U4+1</f>
        <v>2</v>
      </c>
      <c r="V5" s="670">
        <f t="shared" si="4"/>
        <v>2</v>
      </c>
      <c r="W5" s="660" t="s">
        <v>385</v>
      </c>
      <c r="X5" s="671">
        <f t="shared" ref="X5:X27" si="75">SUM(FT5:FX5)</f>
        <v>335118.40815099236</v>
      </c>
      <c r="Y5" s="662">
        <f t="shared" si="5"/>
        <v>3.4645936787062862E-3</v>
      </c>
      <c r="AC5" s="551">
        <f>+AC4+1</f>
        <v>2</v>
      </c>
      <c r="AD5" s="681">
        <v>2</v>
      </c>
      <c r="AE5" s="682" t="s">
        <v>385</v>
      </c>
      <c r="AF5" s="683">
        <v>28.35</v>
      </c>
      <c r="AJ5" s="551">
        <f t="shared" ref="AJ5:AJ7" si="76">+AJ4+1</f>
        <v>2</v>
      </c>
      <c r="AK5" s="688" t="s">
        <v>381</v>
      </c>
      <c r="AL5" s="690">
        <f>'ABDA 3 month Phase I'!AH19+'ABDA 3 month Phase I'!AI19</f>
        <v>1948521.4691116419</v>
      </c>
      <c r="AM5" s="546"/>
      <c r="AN5" s="547"/>
      <c r="AO5" s="546"/>
      <c r="AP5" s="551">
        <f t="shared" ref="AP5:AP27" si="77">+AP4+1</f>
        <v>2</v>
      </c>
      <c r="AQ5" s="697">
        <f t="shared" si="6"/>
        <v>2</v>
      </c>
      <c r="AR5" s="660" t="s">
        <v>385</v>
      </c>
      <c r="AS5" s="660">
        <f t="shared" si="7"/>
        <v>28.35</v>
      </c>
      <c r="AT5" s="698">
        <f t="shared" ref="AT5:AT27" si="78">L5</f>
        <v>951536.76436036197</v>
      </c>
      <c r="AU5" s="698">
        <f>AT5*AS5/3600</f>
        <v>7493.3520193378517</v>
      </c>
      <c r="AV5" s="699">
        <f t="shared" si="8"/>
        <v>7738.2838715700636</v>
      </c>
      <c r="AW5" s="700">
        <f t="shared" si="9"/>
        <v>21.592508896755888</v>
      </c>
      <c r="AX5" s="671">
        <f>AV5*AW5</f>
        <v>167088.96334249919</v>
      </c>
      <c r="AY5" s="465">
        <f t="shared" ref="AY5:AY28" si="79">AX5/$AX$28</f>
        <v>3.9713618732145966E-3</v>
      </c>
      <c r="AZ5" s="553">
        <f t="shared" si="10"/>
        <v>17.559906000000002</v>
      </c>
      <c r="BD5" s="222">
        <v>2</v>
      </c>
      <c r="BE5" s="665" t="s">
        <v>317</v>
      </c>
      <c r="BF5" s="667">
        <v>0.5</v>
      </c>
      <c r="BG5" s="707">
        <f>BF5*$BG$6</f>
        <v>9586712.8881295025</v>
      </c>
      <c r="BK5" s="222">
        <f>+BK4+1</f>
        <v>2</v>
      </c>
      <c r="BL5" s="663">
        <f t="shared" si="11"/>
        <v>2</v>
      </c>
      <c r="BM5" s="660" t="s">
        <v>385</v>
      </c>
      <c r="BN5" s="662">
        <f t="shared" ref="BN5:BN27" si="80">VLOOKUP(BL5,$AQ$4:$AY$28,$BN$33,FALSE)</f>
        <v>3.9713618732145966E-3</v>
      </c>
      <c r="BO5" s="671">
        <f t="shared" ref="BO5:BO27" si="81">BN5*$BO$28</f>
        <v>38072.3060533725</v>
      </c>
      <c r="BP5" s="662">
        <f t="shared" ref="BP5:BP27" si="82">VLOOKUP(BL5,$J$4:$M$27,$BP$33,FALSE)</f>
        <v>4.3359078683272259E-4</v>
      </c>
      <c r="BQ5" s="671">
        <f t="shared" ref="BQ5:BQ27" si="83">BP5*$BQ$28</f>
        <v>4156.7103843034738</v>
      </c>
      <c r="BR5" s="710">
        <f t="shared" si="12"/>
        <v>42229.016437675971</v>
      </c>
      <c r="BS5" s="711">
        <f t="shared" si="13"/>
        <v>4.4379809999999997</v>
      </c>
      <c r="BW5" s="222">
        <f>+BW4+1</f>
        <v>2</v>
      </c>
      <c r="BX5" s="660" t="s">
        <v>382</v>
      </c>
      <c r="BY5" s="716">
        <v>0.15813243766864218</v>
      </c>
      <c r="BZ5" s="717">
        <f>BY5*$BZ$9</f>
        <v>3964967.9477535193</v>
      </c>
      <c r="CA5" s="718">
        <v>1</v>
      </c>
      <c r="CB5" s="718"/>
      <c r="CC5" s="717">
        <f>CA5*$BZ5</f>
        <v>3964967.9477535193</v>
      </c>
      <c r="CD5" s="717">
        <f t="shared" si="14"/>
        <v>0</v>
      </c>
      <c r="CH5" s="222">
        <f>+CH4+1</f>
        <v>2</v>
      </c>
      <c r="CI5" s="681">
        <f t="shared" si="15"/>
        <v>2</v>
      </c>
      <c r="CJ5" s="660" t="s">
        <v>385</v>
      </c>
      <c r="CK5" s="723">
        <f t="shared" si="16"/>
        <v>4.3359078683272259E-4</v>
      </c>
      <c r="CL5" s="650">
        <f t="shared" si="17"/>
        <v>2541.5959284767969</v>
      </c>
      <c r="CM5" s="723">
        <f t="shared" si="18"/>
        <v>4.6834859566410878E-3</v>
      </c>
      <c r="CN5" s="650">
        <f t="shared" si="19"/>
        <v>89979.028937554205</v>
      </c>
      <c r="CO5" s="650">
        <f t="shared" si="20"/>
        <v>92520.624866031008</v>
      </c>
      <c r="CP5" s="723">
        <f t="shared" si="21"/>
        <v>3.6899445689039831E-3</v>
      </c>
      <c r="CQ5" s="724">
        <f t="shared" si="22"/>
        <v>9.7232839999999996</v>
      </c>
      <c r="CU5" s="222">
        <f>+CU4+1</f>
        <v>2</v>
      </c>
      <c r="CV5" s="733" t="s">
        <v>49</v>
      </c>
      <c r="CW5" s="723">
        <v>1</v>
      </c>
      <c r="CX5" s="723">
        <v>0</v>
      </c>
      <c r="CY5" s="734">
        <v>0</v>
      </c>
      <c r="CZ5" s="650">
        <f t="shared" si="23"/>
        <v>376694.73457649816</v>
      </c>
      <c r="DA5" s="650">
        <f t="shared" si="23"/>
        <v>0</v>
      </c>
      <c r="DB5" s="650">
        <f t="shared" si="23"/>
        <v>0</v>
      </c>
      <c r="DC5" s="650">
        <v>376694.73457649816</v>
      </c>
      <c r="DG5" s="551">
        <f>+DG4+1</f>
        <v>2</v>
      </c>
      <c r="DH5" s="677">
        <f t="shared" si="24"/>
        <v>2</v>
      </c>
      <c r="DI5" s="660" t="s">
        <v>385</v>
      </c>
      <c r="DJ5" s="723">
        <f>VLOOKUP(DH5,$CI$4:$CP$27,$DJ$33,FALSE)</f>
        <v>3.6899445689039831E-3</v>
      </c>
      <c r="DK5" s="650">
        <f t="shared" ref="DK5:DK27" si="84">DJ5*$DK$28</f>
        <v>1389.9826899852769</v>
      </c>
      <c r="DL5" s="723">
        <f t="shared" si="26"/>
        <v>4.6834859566410878E-3</v>
      </c>
      <c r="DM5" s="650">
        <f t="shared" si="27"/>
        <v>11465.808277977358</v>
      </c>
      <c r="DN5" s="723">
        <f t="shared" si="28"/>
        <v>4.3359078683272259E-4</v>
      </c>
      <c r="DO5" s="650">
        <f t="shared" si="29"/>
        <v>1538.7547400031076</v>
      </c>
      <c r="DP5" s="650">
        <f t="shared" ref="DP5:DP27" si="85">DK5+DM5+DO5</f>
        <v>14394.545707965743</v>
      </c>
      <c r="DQ5" s="723">
        <f t="shared" si="30"/>
        <v>2.2584305312511386E-3</v>
      </c>
      <c r="DR5" s="724">
        <f t="shared" si="31"/>
        <v>1.5127679999999999</v>
      </c>
      <c r="DV5" s="551">
        <f>+DV4+1</f>
        <v>2</v>
      </c>
      <c r="DW5" s="677">
        <f t="shared" si="32"/>
        <v>2</v>
      </c>
      <c r="DX5" s="660" t="s">
        <v>385</v>
      </c>
      <c r="DY5" s="723">
        <f t="shared" si="33"/>
        <v>4.6834859566410878E-3</v>
      </c>
      <c r="DZ5" s="650">
        <f t="shared" si="34"/>
        <v>18885.257796820457</v>
      </c>
      <c r="EA5" s="724">
        <f t="shared" si="35"/>
        <v>1.9847109999999999</v>
      </c>
      <c r="EE5" s="222">
        <v>2</v>
      </c>
      <c r="EF5" s="660" t="s">
        <v>49</v>
      </c>
      <c r="EG5" s="650">
        <v>927204.15030545439</v>
      </c>
      <c r="EH5" s="651">
        <f>EG5/$EG$7</f>
        <v>7.7040694403786011E-2</v>
      </c>
      <c r="EI5" s="650">
        <f>EH5*$EI$7</f>
        <v>1014795.0574341202</v>
      </c>
      <c r="EM5" s="551">
        <f>+EM4+1</f>
        <v>2</v>
      </c>
      <c r="EN5" s="677">
        <f t="shared" si="36"/>
        <v>2</v>
      </c>
      <c r="EO5" s="660" t="s">
        <v>385</v>
      </c>
      <c r="EP5" s="723">
        <f t="shared" si="37"/>
        <v>3.4645936787062862E-3</v>
      </c>
      <c r="EQ5" s="650">
        <f t="shared" si="38"/>
        <v>27237.093531938564</v>
      </c>
      <c r="ER5" s="723">
        <f t="shared" si="39"/>
        <v>3.6899445689039831E-3</v>
      </c>
      <c r="ES5" s="650">
        <f t="shared" si="40"/>
        <v>3744.5375107296377</v>
      </c>
      <c r="ET5" s="723">
        <f t="shared" si="41"/>
        <v>4.3359078683272259E-4</v>
      </c>
      <c r="EU5" s="650">
        <f t="shared" si="42"/>
        <v>1862.6388609918492</v>
      </c>
      <c r="EV5" s="650">
        <f t="shared" si="43"/>
        <v>32844.269903660053</v>
      </c>
      <c r="EW5" s="723">
        <f t="shared" si="44"/>
        <v>2.4934545571804862E-3</v>
      </c>
      <c r="EX5" s="724">
        <f t="shared" si="45"/>
        <v>3.451708</v>
      </c>
      <c r="FB5" s="297">
        <v>2</v>
      </c>
      <c r="FC5" s="745" t="s">
        <v>383</v>
      </c>
      <c r="FD5" s="727">
        <f>C12</f>
        <v>-335442.86620895599</v>
      </c>
      <c r="FH5" s="551">
        <f>+FH4+1</f>
        <v>2</v>
      </c>
      <c r="FI5" s="670">
        <f t="shared" si="46"/>
        <v>2</v>
      </c>
      <c r="FJ5" s="660" t="s">
        <v>385</v>
      </c>
      <c r="FK5" s="723">
        <f t="shared" si="47"/>
        <v>3.4645936787062862E-3</v>
      </c>
      <c r="FL5" s="650">
        <f t="shared" si="48"/>
        <v>68327.813344426395</v>
      </c>
      <c r="FM5" s="724">
        <f t="shared" si="49"/>
        <v>7.1807850000000002</v>
      </c>
      <c r="FQ5" s="222">
        <f t="shared" ref="FQ5:FQ13" si="86">+FQ4+1</f>
        <v>2</v>
      </c>
      <c r="FR5" s="670">
        <v>2</v>
      </c>
      <c r="FS5" s="660" t="s">
        <v>385</v>
      </c>
      <c r="FT5" s="650">
        <f t="shared" si="50"/>
        <v>167088.96334249919</v>
      </c>
      <c r="FU5" s="650">
        <f t="shared" si="51"/>
        <v>42229.016437675971</v>
      </c>
      <c r="FV5" s="650">
        <f t="shared" si="52"/>
        <v>92520.624866031008</v>
      </c>
      <c r="FW5" s="650">
        <f t="shared" ref="FW5:FW27" si="87">VLOOKUP(FR5,$DH$4:$DP$27,$FW$33,FALSE)</f>
        <v>14394.545707965743</v>
      </c>
      <c r="FX5" s="650">
        <f t="shared" si="53"/>
        <v>18885.257796820457</v>
      </c>
      <c r="FY5" s="650">
        <f t="shared" si="54"/>
        <v>32844.269903660053</v>
      </c>
      <c r="FZ5" s="650">
        <f t="shared" si="55"/>
        <v>68327.813344426395</v>
      </c>
      <c r="GA5" s="650">
        <f t="shared" si="56"/>
        <v>436290.4913990788</v>
      </c>
      <c r="GB5" s="747">
        <f t="shared" si="57"/>
        <v>45.851143999999998</v>
      </c>
      <c r="GF5" s="551">
        <f t="shared" ref="GF5:GF27" si="88">+GF4+1</f>
        <v>2</v>
      </c>
      <c r="GG5" s="670">
        <f t="shared" si="58"/>
        <v>2</v>
      </c>
      <c r="GH5" s="660" t="s">
        <v>385</v>
      </c>
      <c r="GI5" s="724">
        <f t="shared" si="59"/>
        <v>17.559906000000002</v>
      </c>
      <c r="GJ5" s="724">
        <f t="shared" si="60"/>
        <v>4.4379809999999997</v>
      </c>
      <c r="GK5" s="724">
        <f t="shared" si="61"/>
        <v>9.7232839999999996</v>
      </c>
      <c r="GL5" s="724">
        <f t="shared" si="62"/>
        <v>1.5127679999999999</v>
      </c>
      <c r="GM5" s="724">
        <f t="shared" si="63"/>
        <v>1.9847109999999999</v>
      </c>
      <c r="GN5" s="724">
        <f t="shared" si="64"/>
        <v>3.451708</v>
      </c>
      <c r="GO5" s="724">
        <f t="shared" si="65"/>
        <v>7.1807850000000002</v>
      </c>
      <c r="GP5" s="724">
        <f t="shared" si="66"/>
        <v>45.851143999999998</v>
      </c>
      <c r="GQ5" s="661">
        <f t="shared" ref="GQ5:GQ27" si="89">L5</f>
        <v>951536.76436036197</v>
      </c>
      <c r="GR5" s="530"/>
      <c r="GU5" s="222">
        <f t="shared" ref="GU5:GU27" si="90">+GU4+1</f>
        <v>2</v>
      </c>
      <c r="GV5" s="670">
        <f t="shared" si="67"/>
        <v>2</v>
      </c>
      <c r="GW5" s="660" t="s">
        <v>385</v>
      </c>
      <c r="GX5" s="663" t="s">
        <v>379</v>
      </c>
      <c r="GY5" s="671">
        <f t="shared" si="68"/>
        <v>436290.4913990788</v>
      </c>
      <c r="GZ5" s="661">
        <f t="shared" si="69"/>
        <v>951536.76436036197</v>
      </c>
      <c r="HA5" s="724">
        <f t="shared" ref="HA5:HA27" si="91">IF(GW5="Specialty Containers",$HA$31,ROUND(IF(GZ5&lt;&gt;0,GY5/GZ5*100,0),6))</f>
        <v>45.851143999999998</v>
      </c>
      <c r="HB5" s="650">
        <f t="shared" si="70"/>
        <v>436290.49203981017</v>
      </c>
      <c r="HC5" s="750">
        <f t="shared" si="71"/>
        <v>6.4073136309161782E-4</v>
      </c>
      <c r="HD5" s="549"/>
      <c r="HG5" s="297">
        <v>2</v>
      </c>
      <c r="HH5" s="665" t="s">
        <v>384</v>
      </c>
      <c r="HI5" s="754">
        <f>SUMIF($GX$4:$GX$27,$HH5,GY$4:GY$27)</f>
        <v>2336687.4890397219</v>
      </c>
      <c r="HJ5" s="755">
        <f>HI5/HI$6</f>
        <v>1.8027138100769453E-2</v>
      </c>
      <c r="HK5" s="754">
        <f>SUMIF($GX$4:$GX$27,$HH5,HB$4:HB$27)</f>
        <v>2336687.5575993075</v>
      </c>
      <c r="HL5" s="751">
        <f>SUMIF($GX$4:$GX$27,$HH5,HC$4:HC$27)</f>
        <v>6.8559585721231997E-2</v>
      </c>
      <c r="HM5" s="549"/>
      <c r="HP5" s="551">
        <f>+HP4+1</f>
        <v>2</v>
      </c>
      <c r="HQ5" s="762">
        <f t="shared" si="72"/>
        <v>2</v>
      </c>
      <c r="HR5" s="660" t="s">
        <v>385</v>
      </c>
      <c r="HS5" s="661">
        <f t="shared" ref="HS5:HS27" si="92">L5</f>
        <v>951536.76436036197</v>
      </c>
      <c r="HT5" s="757">
        <f t="shared" ref="HT5:HT27" si="93">HA5</f>
        <v>45.851143999999998</v>
      </c>
      <c r="HU5" s="757">
        <v>41.377299000000001</v>
      </c>
      <c r="HV5" s="651">
        <f t="shared" ref="HV5:HV27" si="94">IF(HU5&lt;&gt;0,HT5/HU5-1,"")</f>
        <v>0.10812317643063163</v>
      </c>
      <c r="HW5" s="757">
        <f t="shared" ref="HW5:HW28" si="95">HT5-HU5</f>
        <v>4.4738449999999972</v>
      </c>
      <c r="HX5" s="652">
        <v>25</v>
      </c>
      <c r="IO5" s="551">
        <v>2</v>
      </c>
      <c r="IP5" s="762">
        <v>2</v>
      </c>
      <c r="IQ5" s="660" t="s">
        <v>385</v>
      </c>
      <c r="IR5" s="772">
        <f t="shared" ref="IR5:IT27" si="96">GY5</f>
        <v>436290.4913990788</v>
      </c>
      <c r="IS5" s="773">
        <f t="shared" si="96"/>
        <v>951536.76436036197</v>
      </c>
      <c r="IT5" s="774">
        <f t="shared" si="96"/>
        <v>45.851143999999998</v>
      </c>
      <c r="IU5" s="661">
        <f t="shared" ref="IU5:IU26" si="97">IS5*$IJ$4/(1-$IK$4)</f>
        <v>139262.39321724573</v>
      </c>
      <c r="IV5" s="661">
        <f t="shared" ref="IV5:IV27" si="98">IS5-IU5</f>
        <v>812274.37114311627</v>
      </c>
      <c r="IW5" s="772">
        <f t="shared" ref="IW5:IW27" si="99">IU5*$IH$4</f>
        <v>2088.9358982586859</v>
      </c>
      <c r="IX5" s="772">
        <f t="shared" ref="IX5:IX27" si="100">IR5-IW5</f>
        <v>434201.5555008201</v>
      </c>
      <c r="IY5" s="455">
        <f t="shared" ref="IY5:IY25" si="101">IX5/IS5*100</f>
        <v>45.63161106998291</v>
      </c>
      <c r="IZ5" s="555">
        <f t="shared" ref="IZ5:IZ26" si="102">IY5+1.5</f>
        <v>47.13161106998291</v>
      </c>
      <c r="JA5" s="772">
        <f t="shared" ref="JA5:JA27" si="103">(IY5*IV5+IZ5*IU5)/100</f>
        <v>436290.4913990788</v>
      </c>
      <c r="JB5" s="778">
        <f t="shared" ref="JB5:JB27" si="104">IT5-IY5</f>
        <v>0.21953293001708829</v>
      </c>
      <c r="JF5" s="551">
        <f>+JF4+1</f>
        <v>2</v>
      </c>
      <c r="JG5" s="762">
        <f t="shared" si="73"/>
        <v>2</v>
      </c>
      <c r="JH5" s="660" t="s">
        <v>385</v>
      </c>
      <c r="JI5" s="661">
        <f t="shared" ref="JI5:JI27" si="105">L5</f>
        <v>951536.76436036197</v>
      </c>
      <c r="JJ5" s="757">
        <f t="shared" ref="JJ5:JJ27" si="106">IY5</f>
        <v>45.63161106998291</v>
      </c>
      <c r="JK5" s="757">
        <v>41.15506612786816</v>
      </c>
      <c r="JL5" s="651">
        <f t="shared" ref="JL5" si="107">IF(JK5&lt;&gt;0,JJ5/JK5-1,"")</f>
        <v>0.10877263392570424</v>
      </c>
      <c r="JM5" s="757">
        <f t="shared" ref="JM5:JM28" si="108">JJ5-JK5</f>
        <v>4.4765449421147494</v>
      </c>
      <c r="JN5" s="652">
        <v>25</v>
      </c>
      <c r="JS5" s="757">
        <v>45.730487229304238</v>
      </c>
      <c r="JT5" s="757">
        <f t="shared" ref="JT5:JT28" si="109">JJ5-JS5</f>
        <v>-9.8876159321328316E-2</v>
      </c>
      <c r="JU5" s="1010">
        <v>940536</v>
      </c>
      <c r="JV5" s="1009">
        <f t="shared" ref="JV5:JV28" si="110">JU5-JI5</f>
        <v>-11000.764360361965</v>
      </c>
      <c r="JW5" s="978">
        <f>JT5/JS5</f>
        <v>-2.1621497016976491E-3</v>
      </c>
      <c r="JX5" s="997">
        <v>430111.69536700891</v>
      </c>
      <c r="JY5" s="997">
        <f t="shared" ref="JY5:JY28" si="111">JI5*JJ5/100</f>
        <v>434201.5555008201</v>
      </c>
      <c r="JZ5" s="516"/>
      <c r="KA5" s="516" t="s">
        <v>443</v>
      </c>
      <c r="KB5" s="997">
        <f>SUMPRODUCT(JT4:JT27,JI4:JI27)/100</f>
        <v>-281945.84772634733</v>
      </c>
      <c r="KC5" s="516"/>
      <c r="KE5" s="516"/>
      <c r="KF5" s="516"/>
    </row>
    <row r="6" spans="1:292" ht="17.25" thickBot="1" x14ac:dyDescent="0.35">
      <c r="A6" s="543">
        <v>3</v>
      </c>
      <c r="B6" s="645" t="s">
        <v>48</v>
      </c>
      <c r="C6" s="646">
        <f>'ABDA 3 month Phase I'!MC16</f>
        <v>19173425.776259005</v>
      </c>
      <c r="D6" s="647">
        <f t="shared" si="0"/>
        <v>0.14792153756256871</v>
      </c>
      <c r="E6" s="986">
        <v>0.87345682084506993</v>
      </c>
      <c r="I6" s="543">
        <f t="shared" ref="I6:I21" si="112">+I5+1</f>
        <v>3</v>
      </c>
      <c r="J6" s="654">
        <f t="shared" si="1"/>
        <v>3</v>
      </c>
      <c r="K6" s="655" t="s">
        <v>389</v>
      </c>
      <c r="L6" s="991">
        <v>2993966.5247672005</v>
      </c>
      <c r="M6" s="657">
        <f t="shared" si="2"/>
        <v>1.364273404714198E-3</v>
      </c>
      <c r="N6" s="656">
        <v>816</v>
      </c>
      <c r="O6" s="656">
        <f t="shared" si="74"/>
        <v>3669.0766234892162</v>
      </c>
      <c r="P6" s="657">
        <f t="shared" si="3"/>
        <v>2.0587579178523597E-3</v>
      </c>
      <c r="Q6" s="658" t="s">
        <v>379</v>
      </c>
      <c r="U6" s="545">
        <f t="shared" ref="U6:U27" si="113">+U5+1</f>
        <v>3</v>
      </c>
      <c r="V6" s="669">
        <f t="shared" si="4"/>
        <v>3</v>
      </c>
      <c r="W6" s="655" t="s">
        <v>389</v>
      </c>
      <c r="X6" s="646">
        <f t="shared" si="75"/>
        <v>222749.88770633106</v>
      </c>
      <c r="Y6" s="657">
        <f t="shared" si="5"/>
        <v>2.3028811133889494E-3</v>
      </c>
      <c r="AC6" s="545">
        <f t="shared" ref="AC6:AC27" si="114">+AC5+1</f>
        <v>3</v>
      </c>
      <c r="AD6" s="678">
        <v>3</v>
      </c>
      <c r="AE6" s="679" t="s">
        <v>389</v>
      </c>
      <c r="AF6" s="680">
        <v>6.29</v>
      </c>
      <c r="AJ6" s="545">
        <f t="shared" si="76"/>
        <v>3</v>
      </c>
      <c r="AK6" s="556" t="s">
        <v>386</v>
      </c>
      <c r="AL6" s="691">
        <f>AL4/AL5</f>
        <v>21.592508896755888</v>
      </c>
      <c r="AM6" s="557"/>
      <c r="AN6" s="558"/>
      <c r="AO6" s="557"/>
      <c r="AP6" s="545">
        <f t="shared" si="77"/>
        <v>3</v>
      </c>
      <c r="AQ6" s="693">
        <f t="shared" si="6"/>
        <v>3</v>
      </c>
      <c r="AR6" s="655" t="s">
        <v>389</v>
      </c>
      <c r="AS6" s="655">
        <f t="shared" si="7"/>
        <v>6.29</v>
      </c>
      <c r="AT6" s="694">
        <f t="shared" si="78"/>
        <v>2993966.5247672005</v>
      </c>
      <c r="AU6" s="694">
        <f t="shared" ref="AU6:AU27" si="115">AT6*AS6/3600</f>
        <v>5231.1248446626923</v>
      </c>
      <c r="AV6" s="695">
        <f t="shared" si="8"/>
        <v>5402.1122871523348</v>
      </c>
      <c r="AW6" s="696">
        <f t="shared" si="9"/>
        <v>21.592508896755888</v>
      </c>
      <c r="AX6" s="646">
        <f>AV6*AW6</f>
        <v>116645.15762161108</v>
      </c>
      <c r="AY6" s="544">
        <f t="shared" si="79"/>
        <v>2.7724160974296249E-3</v>
      </c>
      <c r="AZ6" s="548">
        <f t="shared" si="10"/>
        <v>3.896007</v>
      </c>
      <c r="BD6" s="559">
        <v>3</v>
      </c>
      <c r="BE6" s="560" t="s">
        <v>71</v>
      </c>
      <c r="BF6" s="784">
        <f>SUM(BF4:BF5)</f>
        <v>1</v>
      </c>
      <c r="BG6" s="785">
        <f>C6</f>
        <v>19173425.776259005</v>
      </c>
      <c r="BK6" s="543">
        <f t="shared" ref="BK6:BK27" si="116">+BK5+1</f>
        <v>3</v>
      </c>
      <c r="BL6" s="658">
        <f t="shared" si="11"/>
        <v>3</v>
      </c>
      <c r="BM6" s="655" t="s">
        <v>389</v>
      </c>
      <c r="BN6" s="657">
        <f t="shared" si="80"/>
        <v>2.7724160974296249E-3</v>
      </c>
      <c r="BO6" s="646">
        <f t="shared" si="81"/>
        <v>26578.357132486282</v>
      </c>
      <c r="BP6" s="657">
        <f t="shared" si="82"/>
        <v>1.364273404714198E-3</v>
      </c>
      <c r="BQ6" s="646">
        <f t="shared" si="83"/>
        <v>13078.897431905918</v>
      </c>
      <c r="BR6" s="708">
        <f t="shared" si="12"/>
        <v>39657.254564392199</v>
      </c>
      <c r="BS6" s="709">
        <f t="shared" si="13"/>
        <v>1.3245720000000001</v>
      </c>
      <c r="BW6" s="543">
        <f>+BW5+1</f>
        <v>3</v>
      </c>
      <c r="BX6" s="655" t="s">
        <v>387</v>
      </c>
      <c r="BY6" s="647">
        <v>0.11819476827566944</v>
      </c>
      <c r="BZ6" s="715">
        <f>BY6*$BZ$9</f>
        <v>2963582.1385817751</v>
      </c>
      <c r="CA6" s="648"/>
      <c r="CB6" s="648">
        <v>1</v>
      </c>
      <c r="CC6" s="715">
        <f t="shared" si="14"/>
        <v>0</v>
      </c>
      <c r="CD6" s="715">
        <f t="shared" si="14"/>
        <v>2963582.1385817751</v>
      </c>
      <c r="CH6" s="543">
        <f t="shared" ref="CH6:CH27" si="117">+CH5+1</f>
        <v>3</v>
      </c>
      <c r="CI6" s="678">
        <f t="shared" si="15"/>
        <v>3</v>
      </c>
      <c r="CJ6" s="655" t="s">
        <v>389</v>
      </c>
      <c r="CK6" s="657">
        <f t="shared" si="16"/>
        <v>1.364273404714198E-3</v>
      </c>
      <c r="CL6" s="646">
        <f t="shared" si="17"/>
        <v>7997.0143186840878</v>
      </c>
      <c r="CM6" s="657">
        <f t="shared" si="18"/>
        <v>2.0587579178523597E-3</v>
      </c>
      <c r="CN6" s="646">
        <f t="shared" si="19"/>
        <v>39552.811726313092</v>
      </c>
      <c r="CO6" s="646">
        <f t="shared" si="20"/>
        <v>47549.826044997179</v>
      </c>
      <c r="CP6" s="657">
        <f t="shared" si="21"/>
        <v>1.8964011821269631E-3</v>
      </c>
      <c r="CQ6" s="709">
        <f t="shared" si="22"/>
        <v>1.5881879999999999</v>
      </c>
      <c r="CU6" s="561">
        <v>3</v>
      </c>
      <c r="CV6" s="735" t="s">
        <v>377</v>
      </c>
      <c r="CW6" s="736">
        <v>0</v>
      </c>
      <c r="CX6" s="736">
        <v>0</v>
      </c>
      <c r="CY6" s="737">
        <v>1</v>
      </c>
      <c r="CZ6" s="738">
        <f t="shared" si="23"/>
        <v>0</v>
      </c>
      <c r="DA6" s="738">
        <f t="shared" si="23"/>
        <v>0</v>
      </c>
      <c r="DB6" s="738">
        <f t="shared" si="23"/>
        <v>1100728.5042167718</v>
      </c>
      <c r="DC6" s="738">
        <v>1100728.5042167718</v>
      </c>
      <c r="DG6" s="545">
        <f t="shared" ref="DG6:DG27" si="118">+DG5+1</f>
        <v>3</v>
      </c>
      <c r="DH6" s="739">
        <f t="shared" si="24"/>
        <v>3</v>
      </c>
      <c r="DI6" s="655" t="s">
        <v>389</v>
      </c>
      <c r="DJ6" s="657">
        <f t="shared" si="25"/>
        <v>1.8964011821269631E-3</v>
      </c>
      <c r="DK6" s="646">
        <f t="shared" si="84"/>
        <v>714.36433995187372</v>
      </c>
      <c r="DL6" s="657">
        <f t="shared" si="26"/>
        <v>2.0587579178523597E-3</v>
      </c>
      <c r="DM6" s="646">
        <f t="shared" si="27"/>
        <v>5040.1183638420325</v>
      </c>
      <c r="DN6" s="657">
        <f t="shared" si="28"/>
        <v>1.364273404714198E-3</v>
      </c>
      <c r="DO6" s="646">
        <f t="shared" si="29"/>
        <v>4841.6207906512645</v>
      </c>
      <c r="DP6" s="646">
        <f t="shared" si="85"/>
        <v>10596.103494445171</v>
      </c>
      <c r="DQ6" s="657">
        <f t="shared" si="30"/>
        <v>1.6624743934022879E-3</v>
      </c>
      <c r="DR6" s="709">
        <f t="shared" si="31"/>
        <v>0.35391499999999998</v>
      </c>
      <c r="DV6" s="545">
        <f t="shared" ref="DV6:DV27" si="119">+DV5+1</f>
        <v>3</v>
      </c>
      <c r="DW6" s="739">
        <f t="shared" si="32"/>
        <v>3</v>
      </c>
      <c r="DX6" s="655" t="s">
        <v>389</v>
      </c>
      <c r="DY6" s="657">
        <f t="shared" si="33"/>
        <v>2.0587579178523597E-3</v>
      </c>
      <c r="DZ6" s="646">
        <f t="shared" si="34"/>
        <v>8301.5459808854193</v>
      </c>
      <c r="EA6" s="709">
        <f t="shared" si="35"/>
        <v>0.27727600000000002</v>
      </c>
      <c r="EE6" s="561">
        <v>3</v>
      </c>
      <c r="EF6" s="719" t="s">
        <v>169</v>
      </c>
      <c r="EG6" s="738">
        <v>3925054.0147022721</v>
      </c>
      <c r="EH6" s="720">
        <f>EG6/$EG$7</f>
        <v>0.32612978141374083</v>
      </c>
      <c r="EI6" s="738">
        <f>EH6*$EI$7</f>
        <v>4295845.10915922</v>
      </c>
      <c r="EM6" s="545">
        <f t="shared" ref="EM6:EM27" si="120">+EM5+1</f>
        <v>3</v>
      </c>
      <c r="EN6" s="739">
        <f t="shared" si="36"/>
        <v>3</v>
      </c>
      <c r="EO6" s="655" t="s">
        <v>389</v>
      </c>
      <c r="EP6" s="657">
        <f t="shared" si="37"/>
        <v>2.3028811133889494E-3</v>
      </c>
      <c r="EQ6" s="646">
        <f t="shared" si="38"/>
        <v>18104.226381239409</v>
      </c>
      <c r="ER6" s="657">
        <f t="shared" si="39"/>
        <v>1.8964011821269631E-3</v>
      </c>
      <c r="ES6" s="646">
        <f t="shared" si="40"/>
        <v>1924.4585465346649</v>
      </c>
      <c r="ET6" s="657">
        <f t="shared" si="41"/>
        <v>1.364273404714198E-3</v>
      </c>
      <c r="EU6" s="646">
        <f t="shared" si="42"/>
        <v>5860.7072331974841</v>
      </c>
      <c r="EV6" s="646">
        <f t="shared" si="43"/>
        <v>25889.392160971558</v>
      </c>
      <c r="EW6" s="657">
        <f t="shared" si="44"/>
        <v>1.9654576903599739E-3</v>
      </c>
      <c r="EX6" s="709">
        <f t="shared" si="45"/>
        <v>0.86471900000000002</v>
      </c>
      <c r="FB6" s="562">
        <v>3</v>
      </c>
      <c r="FC6" s="563" t="s">
        <v>388</v>
      </c>
      <c r="FD6" s="564">
        <f>SUM(FD4:FD5)</f>
        <v>19721739.309395924</v>
      </c>
      <c r="FH6" s="545">
        <f t="shared" ref="FH6:FH27" si="121">+FH5+1</f>
        <v>3</v>
      </c>
      <c r="FI6" s="669">
        <f t="shared" si="46"/>
        <v>3</v>
      </c>
      <c r="FJ6" s="655" t="s">
        <v>389</v>
      </c>
      <c r="FK6" s="657">
        <f t="shared" si="47"/>
        <v>2.3028811133889494E-3</v>
      </c>
      <c r="FL6" s="646">
        <f t="shared" si="48"/>
        <v>45416.820978788295</v>
      </c>
      <c r="FM6" s="709">
        <f t="shared" si="49"/>
        <v>1.516945</v>
      </c>
      <c r="FQ6" s="543">
        <v>3</v>
      </c>
      <c r="FR6" s="669">
        <v>3</v>
      </c>
      <c r="FS6" s="655" t="s">
        <v>389</v>
      </c>
      <c r="FT6" s="646">
        <f t="shared" si="50"/>
        <v>116645.15762161108</v>
      </c>
      <c r="FU6" s="646">
        <f t="shared" si="51"/>
        <v>39657.254564392199</v>
      </c>
      <c r="FV6" s="646">
        <f t="shared" si="52"/>
        <v>47549.826044997179</v>
      </c>
      <c r="FW6" s="646">
        <f t="shared" si="87"/>
        <v>10596.103494445171</v>
      </c>
      <c r="FX6" s="646">
        <f t="shared" si="53"/>
        <v>8301.5459808854193</v>
      </c>
      <c r="FY6" s="646">
        <f t="shared" si="54"/>
        <v>25889.392160971558</v>
      </c>
      <c r="FZ6" s="646">
        <f t="shared" si="55"/>
        <v>45416.820978788295</v>
      </c>
      <c r="GA6" s="646">
        <f t="shared" si="56"/>
        <v>294056.10084609094</v>
      </c>
      <c r="GB6" s="746">
        <f t="shared" si="57"/>
        <v>9.8216230000000007</v>
      </c>
      <c r="GF6" s="545">
        <f t="shared" si="88"/>
        <v>3</v>
      </c>
      <c r="GG6" s="669">
        <f t="shared" si="58"/>
        <v>3</v>
      </c>
      <c r="GH6" s="655" t="s">
        <v>389</v>
      </c>
      <c r="GI6" s="709">
        <f t="shared" si="59"/>
        <v>3.896007</v>
      </c>
      <c r="GJ6" s="709">
        <f t="shared" si="60"/>
        <v>1.3245720000000001</v>
      </c>
      <c r="GK6" s="709">
        <f t="shared" si="61"/>
        <v>1.5881879999999999</v>
      </c>
      <c r="GL6" s="709">
        <f t="shared" si="62"/>
        <v>0.35391499999999998</v>
      </c>
      <c r="GM6" s="709">
        <f t="shared" si="63"/>
        <v>0.27727600000000002</v>
      </c>
      <c r="GN6" s="709">
        <f t="shared" si="64"/>
        <v>0.86471900000000002</v>
      </c>
      <c r="GO6" s="709">
        <f t="shared" si="65"/>
        <v>1.516945</v>
      </c>
      <c r="GP6" s="709">
        <f t="shared" si="66"/>
        <v>9.8216230000000007</v>
      </c>
      <c r="GQ6" s="656">
        <f t="shared" si="89"/>
        <v>2993966.5247672005</v>
      </c>
      <c r="GR6" s="530"/>
      <c r="GU6" s="543">
        <f t="shared" si="90"/>
        <v>3</v>
      </c>
      <c r="GV6" s="669">
        <f t="shared" si="67"/>
        <v>3</v>
      </c>
      <c r="GW6" s="655" t="s">
        <v>389</v>
      </c>
      <c r="GX6" s="658" t="s">
        <v>379</v>
      </c>
      <c r="GY6" s="646">
        <f t="shared" si="68"/>
        <v>294056.10084609094</v>
      </c>
      <c r="GZ6" s="656">
        <f t="shared" si="69"/>
        <v>2993966.5247672005</v>
      </c>
      <c r="HA6" s="709">
        <f t="shared" si="91"/>
        <v>9.8216230000000007</v>
      </c>
      <c r="HB6" s="646">
        <f t="shared" si="70"/>
        <v>294056.10480883607</v>
      </c>
      <c r="HC6" s="749">
        <f t="shared" si="71"/>
        <v>3.9627451333217323E-3</v>
      </c>
      <c r="HD6" s="565"/>
      <c r="HG6" s="562">
        <v>3</v>
      </c>
      <c r="HH6" s="566" t="s">
        <v>88</v>
      </c>
      <c r="HI6" s="567">
        <f>SUM(HI4:HI5)</f>
        <v>129620546.31067507</v>
      </c>
      <c r="HJ6" s="568">
        <f>SUM(HJ4:HJ5)</f>
        <v>1</v>
      </c>
      <c r="HK6" s="567">
        <f>SUM(HK4:HK5)</f>
        <v>129620542.84029447</v>
      </c>
      <c r="HL6" s="569">
        <f>SUM(HL4:HL5)</f>
        <v>-3.4703806268296375</v>
      </c>
      <c r="HM6" s="565"/>
      <c r="HP6" s="545">
        <f t="shared" ref="HP6:HP27" si="122">+HP5+1</f>
        <v>3</v>
      </c>
      <c r="HQ6" s="761">
        <f t="shared" si="72"/>
        <v>3</v>
      </c>
      <c r="HR6" s="655" t="s">
        <v>389</v>
      </c>
      <c r="HS6" s="656">
        <f t="shared" si="92"/>
        <v>2993966.5247672005</v>
      </c>
      <c r="HT6" s="756">
        <f t="shared" si="93"/>
        <v>9.8216230000000007</v>
      </c>
      <c r="HU6" s="756">
        <v>8.6401970000000006</v>
      </c>
      <c r="HV6" s="647">
        <f>IF(HU6&lt;&gt;0,HT6/HU6-1,"")</f>
        <v>0.13673600266290231</v>
      </c>
      <c r="HW6" s="756">
        <f t="shared" si="95"/>
        <v>1.1814260000000001</v>
      </c>
      <c r="HX6" s="648">
        <v>10</v>
      </c>
      <c r="IO6" s="545">
        <v>3</v>
      </c>
      <c r="IP6" s="761">
        <v>3</v>
      </c>
      <c r="IQ6" s="655" t="s">
        <v>389</v>
      </c>
      <c r="IR6" s="769">
        <f t="shared" si="96"/>
        <v>294056.10084609094</v>
      </c>
      <c r="IS6" s="770">
        <f t="shared" si="96"/>
        <v>2993966.5247672005</v>
      </c>
      <c r="IT6" s="771">
        <f t="shared" si="96"/>
        <v>9.8216230000000007</v>
      </c>
      <c r="IU6" s="656">
        <f t="shared" si="97"/>
        <v>438182.69463469327</v>
      </c>
      <c r="IV6" s="656">
        <f t="shared" si="98"/>
        <v>2555783.8301325073</v>
      </c>
      <c r="IW6" s="769">
        <f t="shared" si="99"/>
        <v>6572.740419520399</v>
      </c>
      <c r="IX6" s="769">
        <f t="shared" si="100"/>
        <v>287483.36042657052</v>
      </c>
      <c r="IY6" s="550">
        <f t="shared" si="101"/>
        <v>9.6020900049616991</v>
      </c>
      <c r="IZ6" s="550">
        <f t="shared" si="102"/>
        <v>11.102090004961699</v>
      </c>
      <c r="JA6" s="769">
        <f t="shared" si="103"/>
        <v>294056.10084609088</v>
      </c>
      <c r="JB6" s="746">
        <f t="shared" si="104"/>
        <v>0.21953299503830159</v>
      </c>
      <c r="JF6" s="545">
        <f t="shared" ref="JF6:JF27" si="123">+JF5+1</f>
        <v>3</v>
      </c>
      <c r="JG6" s="761">
        <f t="shared" si="73"/>
        <v>3</v>
      </c>
      <c r="JH6" s="655" t="s">
        <v>389</v>
      </c>
      <c r="JI6" s="656">
        <f t="shared" si="105"/>
        <v>2993966.5247672005</v>
      </c>
      <c r="JJ6" s="756">
        <f t="shared" si="106"/>
        <v>9.6020900049616991</v>
      </c>
      <c r="JK6" s="756">
        <v>8.4179636538958409</v>
      </c>
      <c r="JL6" s="647">
        <f>IF(JK6&lt;&gt;0,JJ6/JK6-1,"")</f>
        <v>0.14066660296375155</v>
      </c>
      <c r="JM6" s="756">
        <f t="shared" si="108"/>
        <v>1.1841263510658582</v>
      </c>
      <c r="JN6" s="648">
        <v>10</v>
      </c>
      <c r="JS6" s="756">
        <v>9.6211984482145372</v>
      </c>
      <c r="JT6" s="756">
        <f t="shared" si="109"/>
        <v>-1.9108443252838114E-2</v>
      </c>
      <c r="JU6" s="1009">
        <v>2959233</v>
      </c>
      <c r="JV6" s="1009">
        <f t="shared" si="110"/>
        <v>-34733.524767200463</v>
      </c>
      <c r="JW6" s="978">
        <f t="shared" ref="JW6:JW28" si="124">JT6/JS6</f>
        <v>-1.9860772393052741E-3</v>
      </c>
      <c r="JX6" s="997">
        <v>284713.67947505252</v>
      </c>
      <c r="JY6" s="997">
        <f t="shared" si="111"/>
        <v>287483.36042657046</v>
      </c>
      <c r="JZ6" s="516"/>
      <c r="KA6" s="516" t="s">
        <v>444</v>
      </c>
      <c r="KB6" s="997">
        <f>SUM(KB4:KB5)</f>
        <v>-997037.24853518512</v>
      </c>
      <c r="KC6" s="516"/>
      <c r="KE6" s="516"/>
      <c r="KF6" s="516"/>
    </row>
    <row r="7" spans="1:292" ht="17.25" thickBot="1" x14ac:dyDescent="0.35">
      <c r="A7" s="222">
        <v>4</v>
      </c>
      <c r="B7" s="653" t="s">
        <v>49</v>
      </c>
      <c r="C7" s="650">
        <f>'ABDA 3 month Phase I'!MC17</f>
        <v>25073716.728897151</v>
      </c>
      <c r="D7" s="651">
        <f t="shared" si="0"/>
        <v>0.19344183841884266</v>
      </c>
      <c r="E7" s="986">
        <v>1.1422480863023685</v>
      </c>
      <c r="I7" s="222">
        <f t="shared" si="112"/>
        <v>4</v>
      </c>
      <c r="J7" s="659">
        <f t="shared" si="1"/>
        <v>4</v>
      </c>
      <c r="K7" s="660" t="s">
        <v>392</v>
      </c>
      <c r="L7" s="991">
        <v>370488.99009856407</v>
      </c>
      <c r="M7" s="662">
        <f t="shared" si="2"/>
        <v>1.6882228700609619E-4</v>
      </c>
      <c r="N7" s="661">
        <v>172</v>
      </c>
      <c r="O7" s="661">
        <f t="shared" si="74"/>
        <v>2154.0057563870005</v>
      </c>
      <c r="P7" s="662">
        <f t="shared" si="3"/>
        <v>1.2086355399806581E-3</v>
      </c>
      <c r="Q7" s="663" t="s">
        <v>379</v>
      </c>
      <c r="U7" s="551">
        <f t="shared" si="113"/>
        <v>4</v>
      </c>
      <c r="V7" s="670">
        <f t="shared" si="4"/>
        <v>4</v>
      </c>
      <c r="W7" s="660" t="s">
        <v>392</v>
      </c>
      <c r="X7" s="671">
        <f t="shared" si="75"/>
        <v>60405.455188175154</v>
      </c>
      <c r="Y7" s="662">
        <f t="shared" si="5"/>
        <v>6.2449675432342479E-4</v>
      </c>
      <c r="AC7" s="551">
        <f t="shared" si="114"/>
        <v>4</v>
      </c>
      <c r="AD7" s="681">
        <v>4</v>
      </c>
      <c r="AE7" s="682" t="s">
        <v>392</v>
      </c>
      <c r="AF7" s="683">
        <v>9.15</v>
      </c>
      <c r="AJ7" s="570">
        <f t="shared" si="76"/>
        <v>4</v>
      </c>
      <c r="AK7" s="571" t="s">
        <v>390</v>
      </c>
      <c r="AL7" s="692">
        <f>AU28*3600/AT28</f>
        <v>3.0952351357389047</v>
      </c>
      <c r="AP7" s="551">
        <f t="shared" si="77"/>
        <v>4</v>
      </c>
      <c r="AQ7" s="697">
        <f t="shared" si="6"/>
        <v>4</v>
      </c>
      <c r="AR7" s="660" t="s">
        <v>392</v>
      </c>
      <c r="AS7" s="660">
        <f t="shared" si="7"/>
        <v>9.15</v>
      </c>
      <c r="AT7" s="698">
        <f t="shared" si="78"/>
        <v>370488.99009856407</v>
      </c>
      <c r="AU7" s="698">
        <f t="shared" si="115"/>
        <v>941.65951650051716</v>
      </c>
      <c r="AV7" s="699">
        <f t="shared" si="8"/>
        <v>972.43912073549097</v>
      </c>
      <c r="AW7" s="700">
        <f t="shared" si="9"/>
        <v>21.592508896755888</v>
      </c>
      <c r="AX7" s="671">
        <f t="shared" ref="AX7:AX27" si="125">AV7*AW7</f>
        <v>20997.400366034562</v>
      </c>
      <c r="AY7" s="465">
        <f t="shared" si="79"/>
        <v>4.9906513022863433E-4</v>
      </c>
      <c r="AZ7" s="553">
        <f t="shared" si="10"/>
        <v>5.6674829999999998</v>
      </c>
      <c r="BK7" s="222">
        <f t="shared" si="116"/>
        <v>4</v>
      </c>
      <c r="BL7" s="663">
        <f t="shared" si="11"/>
        <v>4</v>
      </c>
      <c r="BM7" s="660" t="s">
        <v>392</v>
      </c>
      <c r="BN7" s="662">
        <f t="shared" si="80"/>
        <v>4.9906513022863433E-4</v>
      </c>
      <c r="BO7" s="671">
        <f t="shared" si="81"/>
        <v>4784.3941159788774</v>
      </c>
      <c r="BP7" s="662">
        <f t="shared" si="82"/>
        <v>1.6882228700609619E-4</v>
      </c>
      <c r="BQ7" s="671">
        <f t="shared" si="83"/>
        <v>1618.4507946448402</v>
      </c>
      <c r="BR7" s="710">
        <f t="shared" si="12"/>
        <v>6402.8449106237176</v>
      </c>
      <c r="BS7" s="711">
        <f t="shared" si="13"/>
        <v>1.7282150000000001</v>
      </c>
      <c r="BW7" s="222">
        <f>+BW6+1</f>
        <v>4</v>
      </c>
      <c r="BX7" s="660" t="s">
        <v>391</v>
      </c>
      <c r="BY7" s="716">
        <v>0.27421214545215511</v>
      </c>
      <c r="BZ7" s="717">
        <f>BY7*$BZ$9</f>
        <v>6875517.6586904805</v>
      </c>
      <c r="CA7" s="718"/>
      <c r="CB7" s="718">
        <v>1</v>
      </c>
      <c r="CC7" s="717">
        <f t="shared" si="14"/>
        <v>0</v>
      </c>
      <c r="CD7" s="717">
        <f t="shared" si="14"/>
        <v>6875517.6586904805</v>
      </c>
      <c r="CH7" s="222">
        <f t="shared" si="117"/>
        <v>4</v>
      </c>
      <c r="CI7" s="681">
        <f t="shared" si="15"/>
        <v>4</v>
      </c>
      <c r="CJ7" s="660" t="s">
        <v>392</v>
      </c>
      <c r="CK7" s="723">
        <f t="shared" si="16"/>
        <v>1.6882228700609619E-4</v>
      </c>
      <c r="CL7" s="650">
        <f t="shared" si="17"/>
        <v>989.59214614578912</v>
      </c>
      <c r="CM7" s="723">
        <f t="shared" si="18"/>
        <v>1.2086355399806581E-3</v>
      </c>
      <c r="CN7" s="650">
        <f t="shared" si="19"/>
        <v>23220.279346128533</v>
      </c>
      <c r="CO7" s="650">
        <f t="shared" si="20"/>
        <v>24209.87149227432</v>
      </c>
      <c r="CP7" s="723">
        <f t="shared" si="21"/>
        <v>9.655477787372757E-4</v>
      </c>
      <c r="CQ7" s="724">
        <f t="shared" si="22"/>
        <v>6.5345719999999998</v>
      </c>
      <c r="CU7" s="274">
        <v>4</v>
      </c>
      <c r="CV7" s="572" t="s">
        <v>71</v>
      </c>
      <c r="CW7" s="430"/>
      <c r="CX7" s="430"/>
      <c r="CY7" s="573"/>
      <c r="CZ7" s="277">
        <f>SUM(CZ4:CZ6)</f>
        <v>376694.73457649816</v>
      </c>
      <c r="DA7" s="277">
        <f>SUM(DA4:DA6)</f>
        <v>2448135.5093462113</v>
      </c>
      <c r="DB7" s="277">
        <f>SUM(DB4:DB6)</f>
        <v>3548864.0135629829</v>
      </c>
      <c r="DC7" s="277">
        <f>SUM(DC4:DC6)</f>
        <v>6373694.2574856924</v>
      </c>
      <c r="DG7" s="551">
        <f t="shared" si="118"/>
        <v>4</v>
      </c>
      <c r="DH7" s="677">
        <f t="shared" si="24"/>
        <v>4</v>
      </c>
      <c r="DI7" s="660" t="s">
        <v>392</v>
      </c>
      <c r="DJ7" s="723">
        <f t="shared" si="25"/>
        <v>9.655477787372757E-4</v>
      </c>
      <c r="DK7" s="650">
        <f t="shared" si="84"/>
        <v>363.71676423236545</v>
      </c>
      <c r="DL7" s="723">
        <f t="shared" si="26"/>
        <v>1.2086355399806581E-3</v>
      </c>
      <c r="DM7" s="650">
        <f t="shared" si="27"/>
        <v>2958.9035832844816</v>
      </c>
      <c r="DN7" s="723">
        <f t="shared" si="28"/>
        <v>1.6882228700609619E-4</v>
      </c>
      <c r="DO7" s="650">
        <f t="shared" si="29"/>
        <v>599.12733904333641</v>
      </c>
      <c r="DP7" s="650">
        <f t="shared" si="85"/>
        <v>3921.747686560183</v>
      </c>
      <c r="DQ7" s="723">
        <f t="shared" si="30"/>
        <v>6.1530213532822364E-4</v>
      </c>
      <c r="DR7" s="724">
        <f t="shared" si="31"/>
        <v>1.0585329999999999</v>
      </c>
      <c r="DV7" s="551">
        <f t="shared" si="119"/>
        <v>4</v>
      </c>
      <c r="DW7" s="677">
        <f t="shared" si="32"/>
        <v>4</v>
      </c>
      <c r="DX7" s="660" t="s">
        <v>392</v>
      </c>
      <c r="DY7" s="723">
        <f t="shared" si="33"/>
        <v>1.2086355399806581E-3</v>
      </c>
      <c r="DZ7" s="650">
        <f t="shared" si="34"/>
        <v>4873.590732682369</v>
      </c>
      <c r="EA7" s="724">
        <f t="shared" si="35"/>
        <v>1.315448</v>
      </c>
      <c r="EE7" s="574">
        <v>4</v>
      </c>
      <c r="EF7" s="369" t="s">
        <v>71</v>
      </c>
      <c r="EG7" s="277">
        <f>SUM(EG4:EG6)</f>
        <v>12035251.726130454</v>
      </c>
      <c r="EH7" s="575">
        <f>EG7/$EG$7</f>
        <v>1</v>
      </c>
      <c r="EI7" s="277">
        <f>C10</f>
        <v>13172195.101401502</v>
      </c>
      <c r="EM7" s="551">
        <f t="shared" si="120"/>
        <v>4</v>
      </c>
      <c r="EN7" s="677">
        <f t="shared" si="36"/>
        <v>4</v>
      </c>
      <c r="EO7" s="660" t="s">
        <v>392</v>
      </c>
      <c r="EP7" s="723">
        <f t="shared" si="37"/>
        <v>6.2449675432342479E-4</v>
      </c>
      <c r="EQ7" s="650">
        <f t="shared" si="38"/>
        <v>4909.5155407229995</v>
      </c>
      <c r="ER7" s="723">
        <f t="shared" si="39"/>
        <v>9.655477787372757E-4</v>
      </c>
      <c r="ES7" s="650">
        <f t="shared" si="40"/>
        <v>979.83311357908087</v>
      </c>
      <c r="ET7" s="723">
        <f t="shared" si="41"/>
        <v>1.6882228700609619E-4</v>
      </c>
      <c r="EU7" s="650">
        <f t="shared" si="42"/>
        <v>725.23439595221248</v>
      </c>
      <c r="EV7" s="650">
        <f t="shared" si="43"/>
        <v>6614.5830502542931</v>
      </c>
      <c r="EW7" s="723">
        <f t="shared" si="44"/>
        <v>5.0216254764936716E-4</v>
      </c>
      <c r="EX7" s="724">
        <f t="shared" si="45"/>
        <v>1.785366</v>
      </c>
      <c r="FD7" s="5"/>
      <c r="FH7" s="551">
        <f t="shared" si="121"/>
        <v>4</v>
      </c>
      <c r="FI7" s="670">
        <f t="shared" si="46"/>
        <v>4</v>
      </c>
      <c r="FJ7" s="660" t="s">
        <v>392</v>
      </c>
      <c r="FK7" s="723">
        <f t="shared" si="47"/>
        <v>6.2449675432342479E-4</v>
      </c>
      <c r="FL7" s="650">
        <f t="shared" si="48"/>
        <v>12316.162188330456</v>
      </c>
      <c r="FM7" s="724">
        <f t="shared" si="49"/>
        <v>3.3242989999999999</v>
      </c>
      <c r="FQ7" s="222">
        <v>4</v>
      </c>
      <c r="FR7" s="670">
        <v>4</v>
      </c>
      <c r="FS7" s="660" t="s">
        <v>392</v>
      </c>
      <c r="FT7" s="650">
        <f t="shared" si="50"/>
        <v>20997.400366034562</v>
      </c>
      <c r="FU7" s="650">
        <f t="shared" si="51"/>
        <v>6402.8449106237176</v>
      </c>
      <c r="FV7" s="650">
        <f t="shared" si="52"/>
        <v>24209.87149227432</v>
      </c>
      <c r="FW7" s="650">
        <f t="shared" si="87"/>
        <v>3921.747686560183</v>
      </c>
      <c r="FX7" s="650">
        <f t="shared" si="53"/>
        <v>4873.590732682369</v>
      </c>
      <c r="FY7" s="650">
        <f t="shared" si="54"/>
        <v>6614.5830502542931</v>
      </c>
      <c r="FZ7" s="650">
        <f t="shared" si="55"/>
        <v>12316.162188330456</v>
      </c>
      <c r="GA7" s="650">
        <f t="shared" si="56"/>
        <v>79336.200426759911</v>
      </c>
      <c r="GB7" s="747">
        <f t="shared" si="57"/>
        <v>21.413916</v>
      </c>
      <c r="GF7" s="551">
        <f t="shared" si="88"/>
        <v>4</v>
      </c>
      <c r="GG7" s="670">
        <f t="shared" si="58"/>
        <v>4</v>
      </c>
      <c r="GH7" s="660" t="s">
        <v>392</v>
      </c>
      <c r="GI7" s="724">
        <f t="shared" si="59"/>
        <v>5.6674829999999998</v>
      </c>
      <c r="GJ7" s="724">
        <f t="shared" si="60"/>
        <v>1.7282150000000001</v>
      </c>
      <c r="GK7" s="724">
        <f t="shared" si="61"/>
        <v>6.5345719999999998</v>
      </c>
      <c r="GL7" s="724">
        <f t="shared" si="62"/>
        <v>1.0585329999999999</v>
      </c>
      <c r="GM7" s="724">
        <f t="shared" si="63"/>
        <v>1.315448</v>
      </c>
      <c r="GN7" s="724">
        <f t="shared" si="64"/>
        <v>1.785366</v>
      </c>
      <c r="GO7" s="724">
        <f t="shared" si="65"/>
        <v>3.3242989999999999</v>
      </c>
      <c r="GP7" s="724">
        <f t="shared" si="66"/>
        <v>21.413916</v>
      </c>
      <c r="GQ7" s="661">
        <f t="shared" si="89"/>
        <v>370488.99009856407</v>
      </c>
      <c r="GR7" s="530"/>
      <c r="GU7" s="222">
        <f t="shared" si="90"/>
        <v>4</v>
      </c>
      <c r="GV7" s="670">
        <f t="shared" si="67"/>
        <v>4</v>
      </c>
      <c r="GW7" s="660" t="s">
        <v>392</v>
      </c>
      <c r="GX7" s="663" t="s">
        <v>379</v>
      </c>
      <c r="GY7" s="671">
        <f t="shared" si="68"/>
        <v>79336.200426759911</v>
      </c>
      <c r="GZ7" s="661">
        <f t="shared" si="69"/>
        <v>370488.99009856407</v>
      </c>
      <c r="HA7" s="724">
        <f t="shared" si="91"/>
        <v>21.413916</v>
      </c>
      <c r="HB7" s="650">
        <f t="shared" si="70"/>
        <v>79336.201128954825</v>
      </c>
      <c r="HC7" s="750">
        <f t="shared" si="71"/>
        <v>7.0219491317402571E-4</v>
      </c>
      <c r="HD7" s="549"/>
      <c r="HG7" s="549"/>
      <c r="HH7" s="549"/>
      <c r="HI7" s="549"/>
      <c r="HJ7" s="549"/>
      <c r="HK7" s="549"/>
      <c r="HL7" s="549"/>
      <c r="HM7" s="549"/>
      <c r="HP7" s="551">
        <f t="shared" si="122"/>
        <v>4</v>
      </c>
      <c r="HQ7" s="762">
        <f t="shared" si="72"/>
        <v>4</v>
      </c>
      <c r="HR7" s="660" t="s">
        <v>392</v>
      </c>
      <c r="HS7" s="661">
        <f t="shared" si="92"/>
        <v>370488.99009856407</v>
      </c>
      <c r="HT7" s="757">
        <f t="shared" si="93"/>
        <v>21.413916</v>
      </c>
      <c r="HU7" s="757">
        <v>18.985862000000001</v>
      </c>
      <c r="HV7" s="651">
        <f t="shared" si="94"/>
        <v>0.12788747753459906</v>
      </c>
      <c r="HW7" s="757">
        <f t="shared" si="95"/>
        <v>2.4280539999999995</v>
      </c>
      <c r="HX7" s="652">
        <v>25</v>
      </c>
      <c r="IO7" s="551">
        <v>4</v>
      </c>
      <c r="IP7" s="762">
        <v>4</v>
      </c>
      <c r="IQ7" s="660" t="s">
        <v>392</v>
      </c>
      <c r="IR7" s="772">
        <f t="shared" si="96"/>
        <v>79336.200426759911</v>
      </c>
      <c r="IS7" s="773">
        <f t="shared" si="96"/>
        <v>370488.99009856407</v>
      </c>
      <c r="IT7" s="774">
        <f t="shared" si="96"/>
        <v>21.413916</v>
      </c>
      <c r="IU7" s="661">
        <f t="shared" si="97"/>
        <v>54223.005725322226</v>
      </c>
      <c r="IV7" s="661">
        <f t="shared" si="98"/>
        <v>316265.98437324184</v>
      </c>
      <c r="IW7" s="772">
        <f t="shared" si="99"/>
        <v>813.34508587983339</v>
      </c>
      <c r="IX7" s="772">
        <f t="shared" si="100"/>
        <v>78522.85534088008</v>
      </c>
      <c r="IY7" s="455">
        <f t="shared" si="101"/>
        <v>21.194382947787471</v>
      </c>
      <c r="IZ7" s="555">
        <f t="shared" si="102"/>
        <v>22.694382947787471</v>
      </c>
      <c r="JA7" s="772">
        <f t="shared" si="103"/>
        <v>79336.200426759911</v>
      </c>
      <c r="JB7" s="778">
        <f t="shared" si="104"/>
        <v>0.21953305221252961</v>
      </c>
      <c r="JF7" s="551">
        <f t="shared" si="123"/>
        <v>4</v>
      </c>
      <c r="JG7" s="762">
        <f t="shared" si="73"/>
        <v>4</v>
      </c>
      <c r="JH7" s="660" t="s">
        <v>392</v>
      </c>
      <c r="JI7" s="661">
        <f t="shared" si="105"/>
        <v>370488.99009856407</v>
      </c>
      <c r="JJ7" s="757">
        <f t="shared" si="106"/>
        <v>21.194382947787471</v>
      </c>
      <c r="JK7" s="757">
        <v>18.76362854838003</v>
      </c>
      <c r="JL7" s="651">
        <f t="shared" ref="JL7:JL27" si="126">IF(JK7&lt;&gt;0,JJ7/JK7-1,"")</f>
        <v>0.12954607330559753</v>
      </c>
      <c r="JM7" s="757">
        <f t="shared" si="108"/>
        <v>2.4307543994074408</v>
      </c>
      <c r="JN7" s="652">
        <v>25</v>
      </c>
      <c r="JS7" s="757">
        <v>21.254814106638431</v>
      </c>
      <c r="JT7" s="757">
        <f t="shared" si="109"/>
        <v>-6.0431158850960287E-2</v>
      </c>
      <c r="JU7" s="1010">
        <v>360281</v>
      </c>
      <c r="JV7" s="1009">
        <f t="shared" si="110"/>
        <v>-10207.990098564071</v>
      </c>
      <c r="JW7" s="978">
        <f t="shared" si="124"/>
        <v>-2.8431751295385859E-3</v>
      </c>
      <c r="JX7" s="997">
        <v>76577.056811538001</v>
      </c>
      <c r="JY7" s="997">
        <f t="shared" si="111"/>
        <v>78522.855340880065</v>
      </c>
      <c r="JZ7" s="516"/>
      <c r="KA7" s="516"/>
      <c r="KB7" s="516"/>
      <c r="KC7" s="516"/>
      <c r="KE7" s="516"/>
      <c r="KF7" s="516"/>
    </row>
    <row r="8" spans="1:292" ht="16.5" x14ac:dyDescent="0.3">
      <c r="A8" s="543">
        <v>5</v>
      </c>
      <c r="B8" s="645" t="s">
        <v>52</v>
      </c>
      <c r="C8" s="646">
        <f>'ABDA 3 month Phase I'!MC18</f>
        <v>6372039.7741681812</v>
      </c>
      <c r="D8" s="647">
        <f t="shared" si="0"/>
        <v>4.9159807527557393E-2</v>
      </c>
      <c r="E8" s="986">
        <v>0.29035743471963715</v>
      </c>
      <c r="I8" s="543">
        <f t="shared" si="112"/>
        <v>5</v>
      </c>
      <c r="J8" s="654">
        <f t="shared" si="1"/>
        <v>5</v>
      </c>
      <c r="K8" s="655" t="s">
        <v>394</v>
      </c>
      <c r="L8" s="991">
        <v>0</v>
      </c>
      <c r="M8" s="657">
        <f t="shared" ref="M8:M17" si="127">L8/$L$28</f>
        <v>0</v>
      </c>
      <c r="N8" s="656">
        <v>10</v>
      </c>
      <c r="O8" s="656">
        <f t="shared" ref="O8:O17" si="128">IFERROR(L8/N8,0)</f>
        <v>0</v>
      </c>
      <c r="P8" s="657">
        <f t="shared" si="3"/>
        <v>0</v>
      </c>
      <c r="Q8" s="658" t="s">
        <v>384</v>
      </c>
      <c r="U8" s="545">
        <f t="shared" si="113"/>
        <v>5</v>
      </c>
      <c r="V8" s="669">
        <f t="shared" si="4"/>
        <v>5</v>
      </c>
      <c r="W8" s="655" t="s">
        <v>394</v>
      </c>
      <c r="X8" s="646">
        <f t="shared" si="75"/>
        <v>0</v>
      </c>
      <c r="Y8" s="657">
        <f t="shared" si="5"/>
        <v>0</v>
      </c>
      <c r="AC8" s="545">
        <f t="shared" si="114"/>
        <v>5</v>
      </c>
      <c r="AD8" s="678">
        <v>5</v>
      </c>
      <c r="AE8" s="679" t="s">
        <v>394</v>
      </c>
      <c r="AF8" s="680">
        <v>73.19</v>
      </c>
      <c r="AJ8" s="501"/>
      <c r="AP8" s="545">
        <f t="shared" si="77"/>
        <v>5</v>
      </c>
      <c r="AQ8" s="693">
        <f t="shared" si="6"/>
        <v>5</v>
      </c>
      <c r="AR8" s="655" t="s">
        <v>394</v>
      </c>
      <c r="AS8" s="655">
        <f t="shared" si="7"/>
        <v>73.19</v>
      </c>
      <c r="AT8" s="694">
        <f t="shared" ref="AT8:AT17" si="129">L8</f>
        <v>0</v>
      </c>
      <c r="AU8" s="694">
        <f t="shared" si="115"/>
        <v>0</v>
      </c>
      <c r="AV8" s="695">
        <f t="shared" si="8"/>
        <v>0</v>
      </c>
      <c r="AW8" s="696">
        <f t="shared" si="9"/>
        <v>21.592508896755888</v>
      </c>
      <c r="AX8" s="646">
        <f t="shared" si="125"/>
        <v>0</v>
      </c>
      <c r="AY8" s="544">
        <f t="shared" si="79"/>
        <v>0</v>
      </c>
      <c r="AZ8" s="548">
        <f t="shared" si="10"/>
        <v>0</v>
      </c>
      <c r="BK8" s="543">
        <f t="shared" si="116"/>
        <v>5</v>
      </c>
      <c r="BL8" s="658">
        <f t="shared" si="11"/>
        <v>5</v>
      </c>
      <c r="BM8" s="655" t="s">
        <v>394</v>
      </c>
      <c r="BN8" s="657">
        <f t="shared" si="80"/>
        <v>0</v>
      </c>
      <c r="BO8" s="646">
        <f t="shared" si="81"/>
        <v>0</v>
      </c>
      <c r="BP8" s="657">
        <f t="shared" si="82"/>
        <v>0</v>
      </c>
      <c r="BQ8" s="646">
        <f t="shared" si="83"/>
        <v>0</v>
      </c>
      <c r="BR8" s="708">
        <f t="shared" si="12"/>
        <v>0</v>
      </c>
      <c r="BS8" s="709">
        <f t="shared" si="13"/>
        <v>0</v>
      </c>
      <c r="BW8" s="561">
        <f>+BW7+1</f>
        <v>5</v>
      </c>
      <c r="BX8" s="719" t="s">
        <v>393</v>
      </c>
      <c r="BY8" s="720">
        <v>0.37381287569302735</v>
      </c>
      <c r="BZ8" s="721">
        <f>BY8*$BZ$9</f>
        <v>9372878.1547414102</v>
      </c>
      <c r="CA8" s="722"/>
      <c r="CB8" s="722">
        <v>1</v>
      </c>
      <c r="CC8" s="721">
        <f t="shared" si="14"/>
        <v>0</v>
      </c>
      <c r="CD8" s="721">
        <f t="shared" si="14"/>
        <v>9372878.1547414102</v>
      </c>
      <c r="CH8" s="543">
        <f t="shared" si="117"/>
        <v>5</v>
      </c>
      <c r="CI8" s="678">
        <f t="shared" si="15"/>
        <v>5</v>
      </c>
      <c r="CJ8" s="655" t="s">
        <v>394</v>
      </c>
      <c r="CK8" s="657">
        <f t="shared" si="16"/>
        <v>0</v>
      </c>
      <c r="CL8" s="646">
        <f t="shared" si="17"/>
        <v>0</v>
      </c>
      <c r="CM8" s="657">
        <f t="shared" si="18"/>
        <v>0</v>
      </c>
      <c r="CN8" s="646">
        <f t="shared" si="19"/>
        <v>0</v>
      </c>
      <c r="CO8" s="646">
        <f t="shared" si="20"/>
        <v>0</v>
      </c>
      <c r="CP8" s="657">
        <f t="shared" si="21"/>
        <v>0</v>
      </c>
      <c r="CQ8" s="709">
        <f t="shared" si="22"/>
        <v>0</v>
      </c>
      <c r="CW8" s="232"/>
      <c r="CX8" s="232"/>
      <c r="CY8" s="232"/>
      <c r="CZ8" s="232"/>
      <c r="DA8" s="232"/>
      <c r="DB8" s="232"/>
      <c r="DC8" s="232"/>
      <c r="DG8" s="545">
        <f t="shared" si="118"/>
        <v>5</v>
      </c>
      <c r="DH8" s="739">
        <f t="shared" si="24"/>
        <v>5</v>
      </c>
      <c r="DI8" s="655" t="s">
        <v>394</v>
      </c>
      <c r="DJ8" s="657">
        <f t="shared" si="25"/>
        <v>0</v>
      </c>
      <c r="DK8" s="646">
        <f t="shared" si="84"/>
        <v>0</v>
      </c>
      <c r="DL8" s="657">
        <f t="shared" si="26"/>
        <v>0</v>
      </c>
      <c r="DM8" s="646">
        <f t="shared" si="27"/>
        <v>0</v>
      </c>
      <c r="DN8" s="657">
        <f t="shared" si="28"/>
        <v>0</v>
      </c>
      <c r="DO8" s="646">
        <f t="shared" si="29"/>
        <v>0</v>
      </c>
      <c r="DP8" s="646">
        <f t="shared" si="85"/>
        <v>0</v>
      </c>
      <c r="DQ8" s="657">
        <f t="shared" si="30"/>
        <v>0</v>
      </c>
      <c r="DR8" s="709">
        <f t="shared" si="31"/>
        <v>0</v>
      </c>
      <c r="DV8" s="545">
        <f t="shared" si="119"/>
        <v>5</v>
      </c>
      <c r="DW8" s="739">
        <f t="shared" si="32"/>
        <v>5</v>
      </c>
      <c r="DX8" s="655" t="s">
        <v>394</v>
      </c>
      <c r="DY8" s="657">
        <f t="shared" si="33"/>
        <v>0</v>
      </c>
      <c r="DZ8" s="646">
        <f t="shared" si="34"/>
        <v>0</v>
      </c>
      <c r="EA8" s="709">
        <f t="shared" si="35"/>
        <v>0</v>
      </c>
      <c r="EM8" s="545">
        <f t="shared" si="120"/>
        <v>5</v>
      </c>
      <c r="EN8" s="739">
        <f t="shared" si="36"/>
        <v>5</v>
      </c>
      <c r="EO8" s="655" t="s">
        <v>394</v>
      </c>
      <c r="EP8" s="657">
        <f t="shared" si="37"/>
        <v>0</v>
      </c>
      <c r="EQ8" s="646">
        <f t="shared" si="38"/>
        <v>0</v>
      </c>
      <c r="ER8" s="657">
        <f t="shared" si="39"/>
        <v>0</v>
      </c>
      <c r="ES8" s="646">
        <f t="shared" si="40"/>
        <v>0</v>
      </c>
      <c r="ET8" s="657">
        <f t="shared" si="41"/>
        <v>0</v>
      </c>
      <c r="EU8" s="646">
        <f t="shared" si="42"/>
        <v>0</v>
      </c>
      <c r="EV8" s="646">
        <f t="shared" si="43"/>
        <v>0</v>
      </c>
      <c r="EW8" s="657">
        <f t="shared" si="44"/>
        <v>0</v>
      </c>
      <c r="EX8" s="709">
        <f t="shared" si="45"/>
        <v>0</v>
      </c>
      <c r="FH8" s="545">
        <f t="shared" si="121"/>
        <v>5</v>
      </c>
      <c r="FI8" s="669">
        <f t="shared" si="46"/>
        <v>5</v>
      </c>
      <c r="FJ8" s="655" t="s">
        <v>394</v>
      </c>
      <c r="FK8" s="657">
        <f t="shared" si="47"/>
        <v>0</v>
      </c>
      <c r="FL8" s="646">
        <f t="shared" si="48"/>
        <v>0</v>
      </c>
      <c r="FM8" s="709">
        <f t="shared" si="49"/>
        <v>0</v>
      </c>
      <c r="FQ8" s="543">
        <v>5</v>
      </c>
      <c r="FR8" s="669">
        <v>5</v>
      </c>
      <c r="FS8" s="655" t="s">
        <v>394</v>
      </c>
      <c r="FT8" s="646">
        <f t="shared" si="50"/>
        <v>0</v>
      </c>
      <c r="FU8" s="646">
        <f t="shared" si="51"/>
        <v>0</v>
      </c>
      <c r="FV8" s="646">
        <f t="shared" si="52"/>
        <v>0</v>
      </c>
      <c r="FW8" s="646">
        <f t="shared" si="87"/>
        <v>0</v>
      </c>
      <c r="FX8" s="646">
        <f t="shared" si="53"/>
        <v>0</v>
      </c>
      <c r="FY8" s="646">
        <f t="shared" si="54"/>
        <v>0</v>
      </c>
      <c r="FZ8" s="646">
        <f t="shared" si="55"/>
        <v>0</v>
      </c>
      <c r="GA8" s="646">
        <f t="shared" si="56"/>
        <v>0</v>
      </c>
      <c r="GB8" s="746">
        <f t="shared" si="57"/>
        <v>0</v>
      </c>
      <c r="GF8" s="545">
        <f t="shared" si="88"/>
        <v>5</v>
      </c>
      <c r="GG8" s="669">
        <f t="shared" si="58"/>
        <v>5</v>
      </c>
      <c r="GH8" s="655" t="s">
        <v>394</v>
      </c>
      <c r="GI8" s="709">
        <f t="shared" si="59"/>
        <v>0</v>
      </c>
      <c r="GJ8" s="709">
        <f t="shared" si="60"/>
        <v>0</v>
      </c>
      <c r="GK8" s="709">
        <f t="shared" si="61"/>
        <v>0</v>
      </c>
      <c r="GL8" s="709">
        <f t="shared" si="62"/>
        <v>0</v>
      </c>
      <c r="GM8" s="709">
        <f t="shared" si="63"/>
        <v>0</v>
      </c>
      <c r="GN8" s="709">
        <f t="shared" si="64"/>
        <v>0</v>
      </c>
      <c r="GO8" s="709">
        <f t="shared" si="65"/>
        <v>0</v>
      </c>
      <c r="GP8" s="709">
        <f t="shared" si="66"/>
        <v>0</v>
      </c>
      <c r="GQ8" s="656">
        <f t="shared" ref="GQ8:GQ17" si="130">L8</f>
        <v>0</v>
      </c>
      <c r="GR8" s="530"/>
      <c r="GU8" s="543">
        <f t="shared" si="90"/>
        <v>5</v>
      </c>
      <c r="GV8" s="669">
        <f t="shared" si="67"/>
        <v>5</v>
      </c>
      <c r="GW8" s="655" t="s">
        <v>394</v>
      </c>
      <c r="GX8" s="658" t="s">
        <v>384</v>
      </c>
      <c r="GY8" s="646">
        <f t="shared" si="68"/>
        <v>0</v>
      </c>
      <c r="GZ8" s="656">
        <f t="shared" si="69"/>
        <v>0</v>
      </c>
      <c r="HA8" s="709">
        <f t="shared" si="91"/>
        <v>3149</v>
      </c>
      <c r="HB8" s="646">
        <f>ROUND(HA8,10)*GZ8/100</f>
        <v>0</v>
      </c>
      <c r="HC8" s="749">
        <f t="shared" si="71"/>
        <v>0</v>
      </c>
      <c r="HD8" s="549"/>
      <c r="HG8" s="549"/>
      <c r="HH8" s="549"/>
      <c r="HI8" s="549"/>
      <c r="HJ8" s="549"/>
      <c r="HK8" s="549"/>
      <c r="HL8" s="549"/>
      <c r="HM8" s="549"/>
      <c r="HP8" s="545">
        <f t="shared" si="122"/>
        <v>5</v>
      </c>
      <c r="HQ8" s="761">
        <f t="shared" si="72"/>
        <v>5</v>
      </c>
      <c r="HR8" s="655" t="s">
        <v>394</v>
      </c>
      <c r="HS8" s="656">
        <f t="shared" ref="HS8:HS17" si="131">L8</f>
        <v>0</v>
      </c>
      <c r="HT8" s="756">
        <f t="shared" si="93"/>
        <v>3149</v>
      </c>
      <c r="HU8" s="756">
        <v>3149</v>
      </c>
      <c r="HV8" s="647">
        <f t="shared" si="94"/>
        <v>0</v>
      </c>
      <c r="HW8" s="756">
        <f t="shared" si="95"/>
        <v>0</v>
      </c>
      <c r="HX8" s="648">
        <v>10000</v>
      </c>
      <c r="IO8" s="545">
        <v>5</v>
      </c>
      <c r="IP8" s="761">
        <v>5</v>
      </c>
      <c r="IQ8" s="655" t="s">
        <v>394</v>
      </c>
      <c r="IR8" s="769">
        <f t="shared" si="96"/>
        <v>0</v>
      </c>
      <c r="IS8" s="770">
        <f t="shared" si="96"/>
        <v>0</v>
      </c>
      <c r="IT8" s="771">
        <f t="shared" si="96"/>
        <v>3149</v>
      </c>
      <c r="IU8" s="991">
        <v>0</v>
      </c>
      <c r="IV8" s="656">
        <f t="shared" si="98"/>
        <v>0</v>
      </c>
      <c r="IW8" s="769">
        <f t="shared" si="99"/>
        <v>0</v>
      </c>
      <c r="IX8" s="769">
        <f t="shared" si="100"/>
        <v>0</v>
      </c>
      <c r="IY8" s="550">
        <f>IT8</f>
        <v>3149</v>
      </c>
      <c r="IZ8" s="550">
        <f>IY8</f>
        <v>3149</v>
      </c>
      <c r="JA8" s="769">
        <f t="shared" si="103"/>
        <v>0</v>
      </c>
      <c r="JB8" s="746">
        <f t="shared" si="104"/>
        <v>0</v>
      </c>
      <c r="JF8" s="545">
        <f t="shared" si="123"/>
        <v>5</v>
      </c>
      <c r="JG8" s="761">
        <f t="shared" si="73"/>
        <v>5</v>
      </c>
      <c r="JH8" s="655" t="s">
        <v>394</v>
      </c>
      <c r="JI8" s="656">
        <f t="shared" ref="JI8:JI17" si="132">L8</f>
        <v>0</v>
      </c>
      <c r="JJ8" s="756">
        <f t="shared" si="106"/>
        <v>3149</v>
      </c>
      <c r="JK8" s="756">
        <v>3149</v>
      </c>
      <c r="JL8" s="647">
        <f t="shared" si="126"/>
        <v>0</v>
      </c>
      <c r="JM8" s="756">
        <f t="shared" si="108"/>
        <v>0</v>
      </c>
      <c r="JN8" s="648">
        <v>10000</v>
      </c>
      <c r="JS8" s="756">
        <v>3149</v>
      </c>
      <c r="JT8" s="756">
        <f t="shared" si="109"/>
        <v>0</v>
      </c>
      <c r="JU8" s="1009">
        <v>0</v>
      </c>
      <c r="JV8" s="1009">
        <f t="shared" si="110"/>
        <v>0</v>
      </c>
      <c r="JW8" s="978">
        <f t="shared" si="124"/>
        <v>0</v>
      </c>
      <c r="JX8" s="997">
        <v>0</v>
      </c>
      <c r="JY8" s="997">
        <f t="shared" si="111"/>
        <v>0</v>
      </c>
      <c r="JZ8" s="516"/>
      <c r="KA8" s="516"/>
      <c r="KB8" s="516"/>
      <c r="KC8" s="516"/>
      <c r="KE8" s="516"/>
      <c r="KF8" s="516"/>
    </row>
    <row r="9" spans="1:292" ht="17.25" thickBot="1" x14ac:dyDescent="0.35">
      <c r="A9" s="222">
        <v>6</v>
      </c>
      <c r="B9" s="653" t="s">
        <v>50</v>
      </c>
      <c r="C9" s="650">
        <f>'ABDA 3 month Phase I'!MC19</f>
        <v>4032307.9799228488</v>
      </c>
      <c r="D9" s="651">
        <f t="shared" si="0"/>
        <v>3.1108952738876778E-2</v>
      </c>
      <c r="E9" s="986">
        <v>0.18374188525883148</v>
      </c>
      <c r="I9" s="222">
        <f t="shared" si="112"/>
        <v>6</v>
      </c>
      <c r="J9" s="659">
        <f t="shared" si="1"/>
        <v>6</v>
      </c>
      <c r="K9" s="660" t="s">
        <v>395</v>
      </c>
      <c r="L9" s="991">
        <v>4665890.8000932336</v>
      </c>
      <c r="M9" s="662">
        <f t="shared" si="127"/>
        <v>2.1261262192511688E-3</v>
      </c>
      <c r="N9" s="661">
        <v>1810</v>
      </c>
      <c r="O9" s="661">
        <f t="shared" si="128"/>
        <v>2577.8402210459853</v>
      </c>
      <c r="P9" s="662">
        <f t="shared" si="3"/>
        <v>1.4464535660173024E-3</v>
      </c>
      <c r="Q9" s="663" t="s">
        <v>379</v>
      </c>
      <c r="U9" s="551">
        <f t="shared" si="113"/>
        <v>6</v>
      </c>
      <c r="V9" s="670">
        <f t="shared" si="4"/>
        <v>6</v>
      </c>
      <c r="W9" s="660" t="s">
        <v>395</v>
      </c>
      <c r="X9" s="671">
        <f t="shared" si="75"/>
        <v>296749.18435378402</v>
      </c>
      <c r="Y9" s="662">
        <f t="shared" si="5"/>
        <v>3.06791666248944E-3</v>
      </c>
      <c r="AC9" s="551">
        <f t="shared" si="114"/>
        <v>6</v>
      </c>
      <c r="AD9" s="681">
        <v>6</v>
      </c>
      <c r="AE9" s="682" t="s">
        <v>395</v>
      </c>
      <c r="AF9" s="683">
        <v>6.16</v>
      </c>
      <c r="AP9" s="551">
        <f t="shared" si="77"/>
        <v>6</v>
      </c>
      <c r="AQ9" s="697">
        <f t="shared" si="6"/>
        <v>6</v>
      </c>
      <c r="AR9" s="660" t="s">
        <v>395</v>
      </c>
      <c r="AS9" s="660">
        <f t="shared" si="7"/>
        <v>6.16</v>
      </c>
      <c r="AT9" s="698">
        <f t="shared" si="129"/>
        <v>4665890.8000932336</v>
      </c>
      <c r="AU9" s="698">
        <f t="shared" si="115"/>
        <v>7983.8575912706438</v>
      </c>
      <c r="AV9" s="699">
        <f t="shared" si="8"/>
        <v>8244.8223801583972</v>
      </c>
      <c r="AW9" s="700">
        <f t="shared" si="9"/>
        <v>21.592508896755888</v>
      </c>
      <c r="AX9" s="671">
        <f t="shared" si="125"/>
        <v>178026.40059574225</v>
      </c>
      <c r="AY9" s="465">
        <f t="shared" si="79"/>
        <v>4.2313223184127042E-3</v>
      </c>
      <c r="AZ9" s="553">
        <f t="shared" si="10"/>
        <v>3.8154859999999999</v>
      </c>
      <c r="BK9" s="222">
        <f t="shared" si="116"/>
        <v>6</v>
      </c>
      <c r="BL9" s="663">
        <f t="shared" si="11"/>
        <v>6</v>
      </c>
      <c r="BM9" s="660" t="s">
        <v>395</v>
      </c>
      <c r="BN9" s="662">
        <f t="shared" si="80"/>
        <v>4.2313223184127042E-3</v>
      </c>
      <c r="BO9" s="671">
        <f t="shared" si="81"/>
        <v>40564.472203757075</v>
      </c>
      <c r="BP9" s="662">
        <f t="shared" si="82"/>
        <v>2.1261262192511688E-3</v>
      </c>
      <c r="BQ9" s="671">
        <f t="shared" si="83"/>
        <v>20382.561627885232</v>
      </c>
      <c r="BR9" s="710">
        <f t="shared" si="12"/>
        <v>60947.033831642308</v>
      </c>
      <c r="BS9" s="711">
        <f t="shared" si="13"/>
        <v>1.306225</v>
      </c>
      <c r="BW9" s="274">
        <v>6</v>
      </c>
      <c r="BX9" s="572" t="s">
        <v>71</v>
      </c>
      <c r="BY9" s="576">
        <f>SUM(BY4:BY8)</f>
        <v>1.0000000000000004</v>
      </c>
      <c r="BZ9" s="577">
        <f>'ABDA 3 month Phase II'!C7</f>
        <v>25073716.728897151</v>
      </c>
      <c r="CA9" s="578"/>
      <c r="CB9" s="578"/>
      <c r="CC9" s="577">
        <f>SUM(CC4:CC8)</f>
        <v>5861738.7768834978</v>
      </c>
      <c r="CD9" s="577">
        <f>SUM(CD4:CD8)</f>
        <v>19211977.952013664</v>
      </c>
      <c r="CH9" s="222">
        <f t="shared" si="117"/>
        <v>6</v>
      </c>
      <c r="CI9" s="681">
        <f t="shared" si="15"/>
        <v>6</v>
      </c>
      <c r="CJ9" s="660" t="s">
        <v>395</v>
      </c>
      <c r="CK9" s="723">
        <f t="shared" si="16"/>
        <v>2.1261262192511688E-3</v>
      </c>
      <c r="CL9" s="650">
        <f t="shared" si="17"/>
        <v>12462.796503933281</v>
      </c>
      <c r="CM9" s="723">
        <f t="shared" si="18"/>
        <v>1.4464535660173024E-3</v>
      </c>
      <c r="CN9" s="650">
        <f t="shared" si="19"/>
        <v>27789.234018935953</v>
      </c>
      <c r="CO9" s="650">
        <f t="shared" si="20"/>
        <v>40252.03052286923</v>
      </c>
      <c r="CP9" s="723">
        <f t="shared" si="21"/>
        <v>1.6053475820152043E-3</v>
      </c>
      <c r="CQ9" s="724">
        <f t="shared" si="22"/>
        <v>0.86268699999999998</v>
      </c>
      <c r="DG9" s="551">
        <f t="shared" si="118"/>
        <v>6</v>
      </c>
      <c r="DH9" s="677">
        <f t="shared" si="24"/>
        <v>6</v>
      </c>
      <c r="DI9" s="660" t="s">
        <v>395</v>
      </c>
      <c r="DJ9" s="723">
        <f t="shared" si="25"/>
        <v>1.6053475820152043E-3</v>
      </c>
      <c r="DK9" s="650">
        <f t="shared" si="84"/>
        <v>604.72598131024051</v>
      </c>
      <c r="DL9" s="723">
        <f t="shared" si="26"/>
        <v>1.4464535660173024E-3</v>
      </c>
      <c r="DM9" s="650">
        <f t="shared" si="27"/>
        <v>3541.1143375874121</v>
      </c>
      <c r="DN9" s="723">
        <f t="shared" si="28"/>
        <v>2.1261262192511688E-3</v>
      </c>
      <c r="DO9" s="650">
        <f t="shared" si="29"/>
        <v>7545.3328277931932</v>
      </c>
      <c r="DP9" s="650">
        <f t="shared" si="85"/>
        <v>11691.173146690846</v>
      </c>
      <c r="DQ9" s="723">
        <f t="shared" si="30"/>
        <v>1.8342852158243945E-3</v>
      </c>
      <c r="DR9" s="724">
        <f t="shared" si="31"/>
        <v>0.25056699999999998</v>
      </c>
      <c r="DV9" s="551">
        <f t="shared" si="119"/>
        <v>6</v>
      </c>
      <c r="DW9" s="677">
        <f t="shared" si="32"/>
        <v>6</v>
      </c>
      <c r="DX9" s="660" t="s">
        <v>395</v>
      </c>
      <c r="DY9" s="723">
        <f t="shared" si="33"/>
        <v>1.4464535660173024E-3</v>
      </c>
      <c r="DZ9" s="650">
        <f t="shared" si="34"/>
        <v>5832.5462568394296</v>
      </c>
      <c r="EA9" s="724">
        <f t="shared" si="35"/>
        <v>0.125004</v>
      </c>
      <c r="EG9" s="12" t="s">
        <v>427</v>
      </c>
      <c r="EM9" s="551">
        <f t="shared" si="120"/>
        <v>6</v>
      </c>
      <c r="EN9" s="677">
        <f t="shared" si="36"/>
        <v>6</v>
      </c>
      <c r="EO9" s="660" t="s">
        <v>395</v>
      </c>
      <c r="EP9" s="723">
        <f t="shared" si="37"/>
        <v>3.06791666248944E-3</v>
      </c>
      <c r="EQ9" s="650">
        <f t="shared" si="38"/>
        <v>24118.595377574042</v>
      </c>
      <c r="ER9" s="723">
        <f t="shared" si="39"/>
        <v>1.6053475820152043E-3</v>
      </c>
      <c r="ES9" s="650">
        <f t="shared" si="40"/>
        <v>1629.0987916928452</v>
      </c>
      <c r="ET9" s="723">
        <f t="shared" si="41"/>
        <v>2.1261262192511688E-3</v>
      </c>
      <c r="EU9" s="650">
        <f t="shared" si="42"/>
        <v>9133.5089204253163</v>
      </c>
      <c r="EV9" s="650">
        <f t="shared" si="43"/>
        <v>34881.203089692208</v>
      </c>
      <c r="EW9" s="723">
        <f t="shared" si="44"/>
        <v>2.6480934135253509E-3</v>
      </c>
      <c r="EX9" s="724">
        <f t="shared" si="45"/>
        <v>0.74757899999999999</v>
      </c>
      <c r="FH9" s="551">
        <f t="shared" si="121"/>
        <v>6</v>
      </c>
      <c r="FI9" s="670">
        <f t="shared" si="46"/>
        <v>6</v>
      </c>
      <c r="FJ9" s="660" t="s">
        <v>395</v>
      </c>
      <c r="FK9" s="723">
        <f t="shared" si="47"/>
        <v>3.06791666248944E-3</v>
      </c>
      <c r="FL9" s="650">
        <f t="shared" si="48"/>
        <v>60504.65264056874</v>
      </c>
      <c r="FM9" s="724">
        <f t="shared" si="49"/>
        <v>1.2967439999999999</v>
      </c>
      <c r="FQ9" s="222">
        <v>6</v>
      </c>
      <c r="FR9" s="670">
        <v>6</v>
      </c>
      <c r="FS9" s="660" t="s">
        <v>395</v>
      </c>
      <c r="FT9" s="650">
        <f t="shared" si="50"/>
        <v>178026.40059574225</v>
      </c>
      <c r="FU9" s="650">
        <f t="shared" si="51"/>
        <v>60947.033831642308</v>
      </c>
      <c r="FV9" s="650">
        <f t="shared" si="52"/>
        <v>40252.03052286923</v>
      </c>
      <c r="FW9" s="650">
        <f t="shared" si="87"/>
        <v>11691.173146690846</v>
      </c>
      <c r="FX9" s="650">
        <f t="shared" si="53"/>
        <v>5832.5462568394296</v>
      </c>
      <c r="FY9" s="650">
        <f t="shared" si="54"/>
        <v>34881.203089692208</v>
      </c>
      <c r="FZ9" s="650">
        <f t="shared" si="55"/>
        <v>60504.65264056874</v>
      </c>
      <c r="GA9" s="650">
        <f t="shared" si="56"/>
        <v>392135.04008404497</v>
      </c>
      <c r="GB9" s="747">
        <f t="shared" si="57"/>
        <v>8.4042910000000006</v>
      </c>
      <c r="GF9" s="551">
        <f t="shared" si="88"/>
        <v>6</v>
      </c>
      <c r="GG9" s="670">
        <f t="shared" si="58"/>
        <v>6</v>
      </c>
      <c r="GH9" s="660" t="s">
        <v>395</v>
      </c>
      <c r="GI9" s="724">
        <f t="shared" si="59"/>
        <v>3.8154859999999999</v>
      </c>
      <c r="GJ9" s="724">
        <f t="shared" si="60"/>
        <v>1.306225</v>
      </c>
      <c r="GK9" s="724">
        <f t="shared" si="61"/>
        <v>0.86268699999999998</v>
      </c>
      <c r="GL9" s="724">
        <f t="shared" si="62"/>
        <v>0.25056699999999998</v>
      </c>
      <c r="GM9" s="724">
        <f t="shared" si="63"/>
        <v>0.125004</v>
      </c>
      <c r="GN9" s="724">
        <f t="shared" si="64"/>
        <v>0.74757899999999999</v>
      </c>
      <c r="GO9" s="724">
        <f t="shared" si="65"/>
        <v>1.2967439999999999</v>
      </c>
      <c r="GP9" s="724">
        <f t="shared" si="66"/>
        <v>8.4042910000000006</v>
      </c>
      <c r="GQ9" s="661">
        <f t="shared" si="130"/>
        <v>4665890.8000932336</v>
      </c>
      <c r="GR9" s="530"/>
      <c r="GU9" s="222">
        <f t="shared" si="90"/>
        <v>6</v>
      </c>
      <c r="GV9" s="670">
        <f t="shared" si="67"/>
        <v>6</v>
      </c>
      <c r="GW9" s="660" t="s">
        <v>395</v>
      </c>
      <c r="GX9" s="663" t="s">
        <v>379</v>
      </c>
      <c r="GY9" s="671">
        <f t="shared" si="68"/>
        <v>392135.04008404497</v>
      </c>
      <c r="GZ9" s="661">
        <f t="shared" si="69"/>
        <v>4665890.8000932336</v>
      </c>
      <c r="HA9" s="724">
        <f t="shared" si="91"/>
        <v>8.4042910000000006</v>
      </c>
      <c r="HB9" s="650">
        <f t="shared" si="70"/>
        <v>392135.04058206367</v>
      </c>
      <c r="HC9" s="750">
        <f t="shared" si="71"/>
        <v>4.9801869317889214E-4</v>
      </c>
      <c r="HD9" s="549"/>
      <c r="HG9" s="549"/>
      <c r="HH9" s="549"/>
      <c r="HI9" s="549"/>
      <c r="HJ9" s="549"/>
      <c r="HK9" s="549"/>
      <c r="HL9" s="549"/>
      <c r="HM9" s="549"/>
      <c r="HP9" s="551">
        <f t="shared" si="122"/>
        <v>6</v>
      </c>
      <c r="HQ9" s="762">
        <f t="shared" si="72"/>
        <v>6</v>
      </c>
      <c r="HR9" s="660" t="s">
        <v>395</v>
      </c>
      <c r="HS9" s="661">
        <f t="shared" si="131"/>
        <v>4665890.8000932336</v>
      </c>
      <c r="HT9" s="757">
        <f t="shared" si="93"/>
        <v>8.4042910000000006</v>
      </c>
      <c r="HU9" s="757">
        <v>7.3521840000000003</v>
      </c>
      <c r="HV9" s="651">
        <f t="shared" si="94"/>
        <v>0.14310128799823296</v>
      </c>
      <c r="HW9" s="757">
        <f t="shared" si="95"/>
        <v>1.0521070000000003</v>
      </c>
      <c r="HX9" s="652">
        <v>10</v>
      </c>
      <c r="IO9" s="551">
        <v>6</v>
      </c>
      <c r="IP9" s="762">
        <v>6</v>
      </c>
      <c r="IQ9" s="660" t="s">
        <v>395</v>
      </c>
      <c r="IR9" s="772">
        <f t="shared" si="96"/>
        <v>392135.04008404497</v>
      </c>
      <c r="IS9" s="773">
        <f t="shared" si="96"/>
        <v>4665890.8000932336</v>
      </c>
      <c r="IT9" s="774">
        <f t="shared" si="96"/>
        <v>8.4042910000000006</v>
      </c>
      <c r="IU9" s="661">
        <f t="shared" si="97"/>
        <v>682877.57619970432</v>
      </c>
      <c r="IV9" s="661">
        <f t="shared" si="98"/>
        <v>3983013.2238935293</v>
      </c>
      <c r="IW9" s="772">
        <f t="shared" si="99"/>
        <v>10243.163642995565</v>
      </c>
      <c r="IX9" s="772">
        <f t="shared" si="100"/>
        <v>381891.87644104939</v>
      </c>
      <c r="IY9" s="455">
        <f t="shared" si="101"/>
        <v>8.1847581266457947</v>
      </c>
      <c r="IZ9" s="555">
        <f t="shared" si="102"/>
        <v>9.6847581266457947</v>
      </c>
      <c r="JA9" s="772">
        <f t="shared" si="103"/>
        <v>392135.04008404503</v>
      </c>
      <c r="JB9" s="778">
        <f t="shared" si="104"/>
        <v>0.2195328733542059</v>
      </c>
      <c r="JF9" s="551">
        <f t="shared" si="123"/>
        <v>6</v>
      </c>
      <c r="JG9" s="762">
        <f t="shared" si="73"/>
        <v>6</v>
      </c>
      <c r="JH9" s="660" t="s">
        <v>395</v>
      </c>
      <c r="JI9" s="661">
        <f t="shared" si="132"/>
        <v>4665890.8000932336</v>
      </c>
      <c r="JJ9" s="757">
        <f t="shared" si="106"/>
        <v>8.1847581266457947</v>
      </c>
      <c r="JK9" s="757">
        <v>7.129950632713701</v>
      </c>
      <c r="JL9" s="651">
        <f t="shared" si="126"/>
        <v>0.14794036428420942</v>
      </c>
      <c r="JM9" s="757">
        <f t="shared" si="108"/>
        <v>1.0548074939320937</v>
      </c>
      <c r="JN9" s="652">
        <v>10</v>
      </c>
      <c r="JS9" s="757">
        <v>8.1980025538460239</v>
      </c>
      <c r="JT9" s="757">
        <f t="shared" si="109"/>
        <v>-1.3244427200229225E-2</v>
      </c>
      <c r="JU9" s="1010">
        <v>4852924</v>
      </c>
      <c r="JV9" s="1009">
        <f t="shared" si="110"/>
        <v>187033.19990676641</v>
      </c>
      <c r="JW9" s="978">
        <f t="shared" si="124"/>
        <v>-1.6155675865233432E-3</v>
      </c>
      <c r="JX9" s="997">
        <v>397842.8334562066</v>
      </c>
      <c r="JY9" s="997">
        <f t="shared" si="111"/>
        <v>381891.87644104945</v>
      </c>
      <c r="JZ9" s="516"/>
      <c r="KA9" s="516"/>
      <c r="KB9" s="997"/>
      <c r="KC9" s="516"/>
      <c r="KE9" s="516"/>
      <c r="KF9" s="516"/>
    </row>
    <row r="10" spans="1:292" ht="16.5" x14ac:dyDescent="0.3">
      <c r="A10" s="543">
        <v>7</v>
      </c>
      <c r="B10" s="645" t="s">
        <v>53</v>
      </c>
      <c r="C10" s="646">
        <f>'ABDA 3 month Phase I'!MC20</f>
        <v>13172195.101401502</v>
      </c>
      <c r="D10" s="647">
        <f t="shared" si="0"/>
        <v>0.10162249434245939</v>
      </c>
      <c r="E10" s="986">
        <v>0.60022299213736274</v>
      </c>
      <c r="I10" s="543">
        <f t="shared" si="112"/>
        <v>7</v>
      </c>
      <c r="J10" s="654">
        <f t="shared" si="1"/>
        <v>7</v>
      </c>
      <c r="K10" s="655" t="s">
        <v>396</v>
      </c>
      <c r="L10" s="991">
        <v>36831336.011992887</v>
      </c>
      <c r="M10" s="657">
        <f t="shared" si="127"/>
        <v>1.678309084807195E-2</v>
      </c>
      <c r="N10" s="656">
        <v>892</v>
      </c>
      <c r="O10" s="656">
        <f t="shared" si="128"/>
        <v>41290.735439453907</v>
      </c>
      <c r="P10" s="657">
        <f t="shared" si="3"/>
        <v>2.3168670824618067E-2</v>
      </c>
      <c r="Q10" s="658" t="s">
        <v>379</v>
      </c>
      <c r="U10" s="545">
        <f t="shared" si="113"/>
        <v>7</v>
      </c>
      <c r="V10" s="669">
        <f t="shared" si="4"/>
        <v>7</v>
      </c>
      <c r="W10" s="655" t="s">
        <v>396</v>
      </c>
      <c r="X10" s="646">
        <f t="shared" si="75"/>
        <v>2289212.5362417977</v>
      </c>
      <c r="Y10" s="657">
        <f t="shared" si="5"/>
        <v>2.3666832645925576E-2</v>
      </c>
      <c r="AC10" s="545">
        <f t="shared" si="114"/>
        <v>7</v>
      </c>
      <c r="AD10" s="678">
        <v>7</v>
      </c>
      <c r="AE10" s="679" t="s">
        <v>396</v>
      </c>
      <c r="AF10" s="680">
        <v>4.88</v>
      </c>
      <c r="AP10" s="545">
        <f t="shared" si="77"/>
        <v>7</v>
      </c>
      <c r="AQ10" s="693">
        <f t="shared" si="6"/>
        <v>7</v>
      </c>
      <c r="AR10" s="655" t="s">
        <v>396</v>
      </c>
      <c r="AS10" s="655">
        <f t="shared" si="7"/>
        <v>4.88</v>
      </c>
      <c r="AT10" s="694">
        <f t="shared" si="129"/>
        <v>36831336.011992887</v>
      </c>
      <c r="AU10" s="694">
        <f t="shared" si="115"/>
        <v>49926.922149590355</v>
      </c>
      <c r="AV10" s="695">
        <f t="shared" si="8"/>
        <v>51558.861165239745</v>
      </c>
      <c r="AW10" s="696">
        <f t="shared" si="9"/>
        <v>21.592508896755888</v>
      </c>
      <c r="AX10" s="646">
        <f t="shared" si="125"/>
        <v>1113285.1684170407</v>
      </c>
      <c r="AY10" s="544">
        <f t="shared" si="79"/>
        <v>2.6460504532570622E-2</v>
      </c>
      <c r="AZ10" s="548">
        <f t="shared" si="10"/>
        <v>3.0226579999999998</v>
      </c>
      <c r="BK10" s="543">
        <f t="shared" si="116"/>
        <v>7</v>
      </c>
      <c r="BL10" s="658">
        <f t="shared" si="11"/>
        <v>7</v>
      </c>
      <c r="BM10" s="655" t="s">
        <v>396</v>
      </c>
      <c r="BN10" s="657">
        <f t="shared" si="80"/>
        <v>2.6460504532570622E-2</v>
      </c>
      <c r="BO10" s="646">
        <f t="shared" si="81"/>
        <v>253669.25982880392</v>
      </c>
      <c r="BP10" s="657">
        <f t="shared" si="82"/>
        <v>1.678309084807195E-2</v>
      </c>
      <c r="BQ10" s="646">
        <f t="shared" si="83"/>
        <v>160894.67333585967</v>
      </c>
      <c r="BR10" s="708">
        <f t="shared" si="12"/>
        <v>414563.93316466361</v>
      </c>
      <c r="BS10" s="709">
        <f t="shared" si="13"/>
        <v>1.1255740000000001</v>
      </c>
      <c r="BV10" s="15"/>
      <c r="BW10" s="190"/>
      <c r="BX10" s="190"/>
      <c r="BY10" s="190"/>
      <c r="BZ10" s="190"/>
      <c r="CA10" s="190"/>
      <c r="CB10" s="190"/>
      <c r="CC10" s="190"/>
      <c r="CD10" s="190"/>
      <c r="CH10" s="543">
        <f t="shared" si="117"/>
        <v>7</v>
      </c>
      <c r="CI10" s="678">
        <f t="shared" si="15"/>
        <v>7</v>
      </c>
      <c r="CJ10" s="655" t="s">
        <v>396</v>
      </c>
      <c r="CK10" s="657">
        <f t="shared" si="16"/>
        <v>1.678309084807195E-2</v>
      </c>
      <c r="CL10" s="646">
        <f t="shared" si="17"/>
        <v>98378.094420101901</v>
      </c>
      <c r="CM10" s="657">
        <f t="shared" si="18"/>
        <v>2.3168670824618067E-2</v>
      </c>
      <c r="CN10" s="646">
        <f t="shared" si="19"/>
        <v>445115.99306002451</v>
      </c>
      <c r="CO10" s="646">
        <f t="shared" si="20"/>
        <v>543494.08748012641</v>
      </c>
      <c r="CP10" s="657">
        <f t="shared" si="21"/>
        <v>2.1675848593031125E-2</v>
      </c>
      <c r="CQ10" s="709">
        <f t="shared" si="22"/>
        <v>1.47563</v>
      </c>
      <c r="DC10" s="411"/>
      <c r="DD10" s="15"/>
      <c r="DG10" s="545">
        <f t="shared" si="118"/>
        <v>7</v>
      </c>
      <c r="DH10" s="739">
        <f t="shared" si="24"/>
        <v>7</v>
      </c>
      <c r="DI10" s="655" t="s">
        <v>396</v>
      </c>
      <c r="DJ10" s="657">
        <f t="shared" si="25"/>
        <v>2.1675848593031125E-2</v>
      </c>
      <c r="DK10" s="646">
        <f t="shared" si="84"/>
        <v>8165.1780324722204</v>
      </c>
      <c r="DL10" s="657">
        <f t="shared" si="26"/>
        <v>2.3168670824618067E-2</v>
      </c>
      <c r="DM10" s="646">
        <f t="shared" si="27"/>
        <v>56720.045750101061</v>
      </c>
      <c r="DN10" s="657">
        <f t="shared" si="28"/>
        <v>1.678309084807195E-2</v>
      </c>
      <c r="DO10" s="646">
        <f t="shared" si="29"/>
        <v>59560.90714708079</v>
      </c>
      <c r="DP10" s="646">
        <f t="shared" si="85"/>
        <v>124446.13092965407</v>
      </c>
      <c r="DQ10" s="657">
        <f t="shared" si="30"/>
        <v>1.9524960862924393E-2</v>
      </c>
      <c r="DR10" s="709">
        <f t="shared" si="31"/>
        <v>0.33788099999999999</v>
      </c>
      <c r="DV10" s="545">
        <f t="shared" si="119"/>
        <v>7</v>
      </c>
      <c r="DW10" s="739">
        <f t="shared" si="32"/>
        <v>7</v>
      </c>
      <c r="DX10" s="655" t="s">
        <v>396</v>
      </c>
      <c r="DY10" s="657">
        <f t="shared" si="33"/>
        <v>2.3168670824618067E-2</v>
      </c>
      <c r="DZ10" s="646">
        <f t="shared" si="34"/>
        <v>93423.216250313126</v>
      </c>
      <c r="EA10" s="709">
        <f t="shared" si="35"/>
        <v>0.25365100000000002</v>
      </c>
      <c r="EG10" s="16"/>
      <c r="EH10" s="16"/>
      <c r="EI10" s="16"/>
      <c r="EM10" s="545">
        <f t="shared" si="120"/>
        <v>7</v>
      </c>
      <c r="EN10" s="739">
        <f t="shared" si="36"/>
        <v>7</v>
      </c>
      <c r="EO10" s="655" t="s">
        <v>396</v>
      </c>
      <c r="EP10" s="657">
        <f t="shared" si="37"/>
        <v>2.3666832645925576E-2</v>
      </c>
      <c r="EQ10" s="646">
        <f t="shared" si="38"/>
        <v>186058.10497885509</v>
      </c>
      <c r="ER10" s="657">
        <f t="shared" si="39"/>
        <v>2.1675848593031125E-2</v>
      </c>
      <c r="ES10" s="646">
        <f t="shared" si="40"/>
        <v>21996.544017898315</v>
      </c>
      <c r="ET10" s="657">
        <f t="shared" si="41"/>
        <v>1.678309084807195E-2</v>
      </c>
      <c r="EU10" s="646">
        <f t="shared" si="42"/>
        <v>72097.558736264749</v>
      </c>
      <c r="EV10" s="646">
        <f t="shared" si="43"/>
        <v>280152.20773301815</v>
      </c>
      <c r="EW10" s="657">
        <f t="shared" si="44"/>
        <v>2.1268452644101085E-2</v>
      </c>
      <c r="EX10" s="709">
        <f t="shared" si="45"/>
        <v>0.76063499999999995</v>
      </c>
      <c r="FH10" s="545">
        <f t="shared" si="121"/>
        <v>7</v>
      </c>
      <c r="FI10" s="669">
        <f t="shared" si="46"/>
        <v>7</v>
      </c>
      <c r="FJ10" s="655" t="s">
        <v>396</v>
      </c>
      <c r="FK10" s="657">
        <f t="shared" si="47"/>
        <v>2.3666832645925576E-2</v>
      </c>
      <c r="FL10" s="646">
        <f t="shared" si="48"/>
        <v>466751.1037220452</v>
      </c>
      <c r="FM10" s="709">
        <f t="shared" si="49"/>
        <v>1.267266</v>
      </c>
      <c r="FQ10" s="543">
        <v>7</v>
      </c>
      <c r="FR10" s="669">
        <v>7</v>
      </c>
      <c r="FS10" s="655" t="s">
        <v>396</v>
      </c>
      <c r="FT10" s="646">
        <f t="shared" si="50"/>
        <v>1113285.1684170407</v>
      </c>
      <c r="FU10" s="646">
        <f t="shared" si="51"/>
        <v>414563.93316466361</v>
      </c>
      <c r="FV10" s="646">
        <f t="shared" si="52"/>
        <v>543494.08748012641</v>
      </c>
      <c r="FW10" s="646">
        <f t="shared" si="87"/>
        <v>124446.13092965407</v>
      </c>
      <c r="FX10" s="646">
        <f t="shared" si="53"/>
        <v>93423.216250313126</v>
      </c>
      <c r="FY10" s="646">
        <f t="shared" si="54"/>
        <v>280152.20773301815</v>
      </c>
      <c r="FZ10" s="646">
        <f>VLOOKUP(FR10,$FI$4:$FL$27,$FZ$33,FALSE)</f>
        <v>466751.1037220452</v>
      </c>
      <c r="GA10" s="646">
        <f t="shared" si="56"/>
        <v>3036115.8476968613</v>
      </c>
      <c r="GB10" s="746">
        <f t="shared" si="57"/>
        <v>8.2432949999999998</v>
      </c>
      <c r="GF10" s="545">
        <f t="shared" si="88"/>
        <v>7</v>
      </c>
      <c r="GG10" s="669">
        <f t="shared" si="58"/>
        <v>7</v>
      </c>
      <c r="GH10" s="655" t="s">
        <v>396</v>
      </c>
      <c r="GI10" s="709">
        <f t="shared" si="59"/>
        <v>3.0226579999999998</v>
      </c>
      <c r="GJ10" s="709">
        <f t="shared" si="60"/>
        <v>1.1255740000000001</v>
      </c>
      <c r="GK10" s="709">
        <f t="shared" si="61"/>
        <v>1.47563</v>
      </c>
      <c r="GL10" s="709">
        <f t="shared" si="62"/>
        <v>0.33788099999999999</v>
      </c>
      <c r="GM10" s="709">
        <f t="shared" si="63"/>
        <v>0.25365100000000002</v>
      </c>
      <c r="GN10" s="709">
        <f t="shared" si="64"/>
        <v>0.76063499999999995</v>
      </c>
      <c r="GO10" s="709">
        <f t="shared" si="65"/>
        <v>1.267266</v>
      </c>
      <c r="GP10" s="709">
        <f t="shared" si="66"/>
        <v>8.2432949999999998</v>
      </c>
      <c r="GQ10" s="656">
        <f t="shared" si="130"/>
        <v>36831336.011992887</v>
      </c>
      <c r="GR10" s="530"/>
      <c r="GU10" s="543">
        <f t="shared" si="90"/>
        <v>7</v>
      </c>
      <c r="GV10" s="669">
        <f t="shared" si="67"/>
        <v>7</v>
      </c>
      <c r="GW10" s="655" t="s">
        <v>396</v>
      </c>
      <c r="GX10" s="658" t="s">
        <v>379</v>
      </c>
      <c r="GY10" s="646">
        <f t="shared" si="68"/>
        <v>3036115.8476968613</v>
      </c>
      <c r="GZ10" s="656">
        <f t="shared" si="69"/>
        <v>36831336.011992887</v>
      </c>
      <c r="HA10" s="709">
        <f t="shared" si="91"/>
        <v>8.2432949999999998</v>
      </c>
      <c r="HB10" s="646">
        <f t="shared" si="70"/>
        <v>3036115.679909809</v>
      </c>
      <c r="HC10" s="749">
        <f t="shared" si="71"/>
        <v>-0.16778705222532153</v>
      </c>
      <c r="HD10" s="549"/>
      <c r="HG10" s="549"/>
      <c r="HH10" s="549"/>
      <c r="HI10" s="549"/>
      <c r="HJ10" s="549"/>
      <c r="HK10" s="549"/>
      <c r="HL10" s="549"/>
      <c r="HM10" s="549"/>
      <c r="HP10" s="545">
        <f t="shared" si="122"/>
        <v>7</v>
      </c>
      <c r="HQ10" s="761">
        <f t="shared" si="72"/>
        <v>7</v>
      </c>
      <c r="HR10" s="655" t="s">
        <v>396</v>
      </c>
      <c r="HS10" s="656">
        <f t="shared" si="131"/>
        <v>36831336.011992887</v>
      </c>
      <c r="HT10" s="756">
        <f t="shared" si="93"/>
        <v>8.2432949999999998</v>
      </c>
      <c r="HU10" s="756">
        <v>7.2431219999999996</v>
      </c>
      <c r="HV10" s="647">
        <f t="shared" si="94"/>
        <v>0.13808589721393627</v>
      </c>
      <c r="HW10" s="756">
        <f t="shared" si="95"/>
        <v>1.0001730000000002</v>
      </c>
      <c r="HX10" s="648">
        <v>10</v>
      </c>
      <c r="IO10" s="545">
        <v>7</v>
      </c>
      <c r="IP10" s="761">
        <v>7</v>
      </c>
      <c r="IQ10" s="655" t="s">
        <v>396</v>
      </c>
      <c r="IR10" s="769">
        <f t="shared" si="96"/>
        <v>3036115.8476968613</v>
      </c>
      <c r="IS10" s="770">
        <f t="shared" si="96"/>
        <v>36831336.011992887</v>
      </c>
      <c r="IT10" s="771">
        <f t="shared" si="96"/>
        <v>8.2432949999999998</v>
      </c>
      <c r="IU10" s="656">
        <f t="shared" si="97"/>
        <v>5390459.0873759873</v>
      </c>
      <c r="IV10" s="656">
        <f t="shared" si="98"/>
        <v>31440876.924616899</v>
      </c>
      <c r="IW10" s="769">
        <f t="shared" si="99"/>
        <v>80856.886310639806</v>
      </c>
      <c r="IX10" s="769">
        <f t="shared" si="100"/>
        <v>2955258.9613862215</v>
      </c>
      <c r="IY10" s="550">
        <f t="shared" si="101"/>
        <v>8.023762592874558</v>
      </c>
      <c r="IZ10" s="550">
        <f t="shared" si="102"/>
        <v>9.523762592874558</v>
      </c>
      <c r="JA10" s="769">
        <f t="shared" si="103"/>
        <v>3036115.8476968613</v>
      </c>
      <c r="JB10" s="746">
        <f t="shared" si="104"/>
        <v>0.21953240712544186</v>
      </c>
      <c r="JF10" s="545">
        <f t="shared" si="123"/>
        <v>7</v>
      </c>
      <c r="JG10" s="761">
        <f t="shared" si="73"/>
        <v>7</v>
      </c>
      <c r="JH10" s="655" t="s">
        <v>396</v>
      </c>
      <c r="JI10" s="656">
        <f t="shared" si="132"/>
        <v>36831336.011992887</v>
      </c>
      <c r="JJ10" s="756">
        <f t="shared" si="106"/>
        <v>8.023762592874558</v>
      </c>
      <c r="JK10" s="756">
        <v>7.0208891708348835</v>
      </c>
      <c r="JL10" s="647">
        <f t="shared" si="126"/>
        <v>0.14284136918236223</v>
      </c>
      <c r="JM10" s="756">
        <f t="shared" si="108"/>
        <v>1.0028734220396744</v>
      </c>
      <c r="JN10" s="648">
        <v>10</v>
      </c>
      <c r="JS10" s="756">
        <v>8.0410158653363322</v>
      </c>
      <c r="JT10" s="756">
        <f t="shared" si="109"/>
        <v>-1.7253272461774216E-2</v>
      </c>
      <c r="JU10" s="1009">
        <v>36519236</v>
      </c>
      <c r="JV10" s="1009">
        <f t="shared" si="110"/>
        <v>-312100.01199288666</v>
      </c>
      <c r="JW10" s="978">
        <f t="shared" si="124"/>
        <v>-2.1456583037164001E-3</v>
      </c>
      <c r="JX10" s="997">
        <v>2936517.5606596172</v>
      </c>
      <c r="JY10" s="997">
        <f t="shared" si="111"/>
        <v>2955258.961386221</v>
      </c>
      <c r="JZ10" s="516"/>
      <c r="KA10" s="516"/>
      <c r="KB10" s="997"/>
      <c r="KC10" s="516"/>
      <c r="KE10" s="516"/>
      <c r="KF10" s="516"/>
    </row>
    <row r="11" spans="1:292" ht="16.5" x14ac:dyDescent="0.3">
      <c r="A11" s="222">
        <v>8</v>
      </c>
      <c r="B11" s="649" t="s">
        <v>232</v>
      </c>
      <c r="C11" s="650">
        <f>'ABDA 3 month Phase I'!MC23</f>
        <v>20057182.17560488</v>
      </c>
      <c r="D11" s="651">
        <f t="shared" si="0"/>
        <v>0.15473965170385429</v>
      </c>
      <c r="E11" s="986">
        <v>0.91362793435053979</v>
      </c>
      <c r="I11" s="222">
        <f t="shared" si="112"/>
        <v>8</v>
      </c>
      <c r="J11" s="659">
        <f t="shared" si="1"/>
        <v>8</v>
      </c>
      <c r="K11" s="660" t="s">
        <v>397</v>
      </c>
      <c r="L11" s="991">
        <v>24280875.928943142</v>
      </c>
      <c r="M11" s="662">
        <f t="shared" si="127"/>
        <v>1.1064169555335294E-2</v>
      </c>
      <c r="N11" s="661">
        <v>357</v>
      </c>
      <c r="O11" s="661">
        <f t="shared" si="128"/>
        <v>68013.658064266507</v>
      </c>
      <c r="P11" s="662">
        <f t="shared" si="3"/>
        <v>3.8163186935232782E-2</v>
      </c>
      <c r="Q11" s="663" t="s">
        <v>379</v>
      </c>
      <c r="U11" s="551">
        <f t="shared" si="113"/>
        <v>8</v>
      </c>
      <c r="V11" s="670">
        <f t="shared" si="4"/>
        <v>8</v>
      </c>
      <c r="W11" s="660" t="s">
        <v>397</v>
      </c>
      <c r="X11" s="671">
        <f t="shared" si="75"/>
        <v>2905281.2164452625</v>
      </c>
      <c r="Y11" s="662">
        <f t="shared" si="5"/>
        <v>3.0036007251577655E-2</v>
      </c>
      <c r="AC11" s="551">
        <f t="shared" si="114"/>
        <v>8</v>
      </c>
      <c r="AD11" s="681">
        <v>8</v>
      </c>
      <c r="AE11" s="682" t="s">
        <v>397</v>
      </c>
      <c r="AF11" s="683">
        <v>9.2200000000000006</v>
      </c>
      <c r="AP11" s="551">
        <f t="shared" si="77"/>
        <v>8</v>
      </c>
      <c r="AQ11" s="697">
        <f t="shared" si="6"/>
        <v>8</v>
      </c>
      <c r="AR11" s="660" t="s">
        <v>397</v>
      </c>
      <c r="AS11" s="660">
        <f t="shared" si="7"/>
        <v>9.2200000000000006</v>
      </c>
      <c r="AT11" s="698">
        <f t="shared" si="129"/>
        <v>24280875.928943142</v>
      </c>
      <c r="AU11" s="698">
        <f t="shared" si="115"/>
        <v>62186.02112912661</v>
      </c>
      <c r="AV11" s="699">
        <f t="shared" si="8"/>
        <v>64218.667840344955</v>
      </c>
      <c r="AW11" s="700">
        <f t="shared" si="9"/>
        <v>21.592508896755888</v>
      </c>
      <c r="AX11" s="671">
        <f t="shared" si="125"/>
        <v>1386642.1566804596</v>
      </c>
      <c r="AY11" s="465">
        <f t="shared" si="79"/>
        <v>3.2957639347757958E-2</v>
      </c>
      <c r="AZ11" s="553">
        <f t="shared" si="10"/>
        <v>5.7108410000000003</v>
      </c>
      <c r="BK11" s="222">
        <f t="shared" si="116"/>
        <v>8</v>
      </c>
      <c r="BL11" s="663">
        <f t="shared" si="11"/>
        <v>8</v>
      </c>
      <c r="BM11" s="660" t="s">
        <v>397</v>
      </c>
      <c r="BN11" s="662">
        <f t="shared" si="80"/>
        <v>3.2957639347757958E-2</v>
      </c>
      <c r="BO11" s="671">
        <f t="shared" si="81"/>
        <v>315955.42589747522</v>
      </c>
      <c r="BP11" s="662">
        <f t="shared" si="82"/>
        <v>1.1064169555335294E-2</v>
      </c>
      <c r="BQ11" s="671">
        <f t="shared" si="83"/>
        <v>106069.01687258293</v>
      </c>
      <c r="BR11" s="710">
        <f t="shared" si="12"/>
        <v>422024.44277005817</v>
      </c>
      <c r="BS11" s="711">
        <f t="shared" si="13"/>
        <v>1.738094</v>
      </c>
      <c r="BV11" s="15"/>
      <c r="BW11" s="190"/>
      <c r="BX11" s="190"/>
      <c r="BY11" s="190"/>
      <c r="BZ11" s="190"/>
      <c r="CA11" s="190"/>
      <c r="CB11" s="190"/>
      <c r="CC11" s="190"/>
      <c r="CD11" s="190"/>
      <c r="CH11" s="222">
        <f t="shared" si="117"/>
        <v>8</v>
      </c>
      <c r="CI11" s="681">
        <f t="shared" si="15"/>
        <v>8</v>
      </c>
      <c r="CJ11" s="660" t="s">
        <v>397</v>
      </c>
      <c r="CK11" s="723">
        <f t="shared" si="16"/>
        <v>1.1064169555335294E-2</v>
      </c>
      <c r="CL11" s="650">
        <f t="shared" si="17"/>
        <v>64855.271716522737</v>
      </c>
      <c r="CM11" s="723">
        <f t="shared" si="18"/>
        <v>3.8163186935232782E-2</v>
      </c>
      <c r="CN11" s="650">
        <f t="shared" si="19"/>
        <v>733190.30597826815</v>
      </c>
      <c r="CO11" s="650">
        <f t="shared" si="20"/>
        <v>798045.5776947909</v>
      </c>
      <c r="CP11" s="723">
        <f t="shared" si="21"/>
        <v>3.1827972945672349E-2</v>
      </c>
      <c r="CQ11" s="724">
        <f t="shared" si="22"/>
        <v>3.2867250000000001</v>
      </c>
      <c r="DC11" s="411"/>
      <c r="DD11" s="15"/>
      <c r="DG11" s="551">
        <f t="shared" si="118"/>
        <v>8</v>
      </c>
      <c r="DH11" s="677">
        <f t="shared" si="24"/>
        <v>8</v>
      </c>
      <c r="DI11" s="660" t="s">
        <v>397</v>
      </c>
      <c r="DJ11" s="723">
        <f t="shared" si="25"/>
        <v>3.1827972945672349E-2</v>
      </c>
      <c r="DK11" s="650">
        <f t="shared" si="84"/>
        <v>11989.429820878009</v>
      </c>
      <c r="DL11" s="723">
        <f t="shared" si="26"/>
        <v>3.8163186935232782E-2</v>
      </c>
      <c r="DM11" s="650">
        <f t="shared" si="27"/>
        <v>93428.653085960788</v>
      </c>
      <c r="DN11" s="723">
        <f t="shared" si="28"/>
        <v>1.1064169555335294E-2</v>
      </c>
      <c r="DO11" s="650">
        <f t="shared" si="29"/>
        <v>39265.233174888577</v>
      </c>
      <c r="DP11" s="650">
        <f t="shared" si="85"/>
        <v>144683.31608172739</v>
      </c>
      <c r="DQ11" s="723">
        <f t="shared" si="30"/>
        <v>2.2700071612597617E-2</v>
      </c>
      <c r="DR11" s="724">
        <f t="shared" si="31"/>
        <v>0.59587400000000001</v>
      </c>
      <c r="DV11" s="551">
        <f t="shared" si="119"/>
        <v>8</v>
      </c>
      <c r="DW11" s="677">
        <f t="shared" si="32"/>
        <v>8</v>
      </c>
      <c r="DX11" s="660" t="s">
        <v>397</v>
      </c>
      <c r="DY11" s="723">
        <f t="shared" si="33"/>
        <v>3.8163186935232782E-2</v>
      </c>
      <c r="DZ11" s="650">
        <f t="shared" si="34"/>
        <v>153885.72321822654</v>
      </c>
      <c r="EA11" s="724">
        <f t="shared" si="35"/>
        <v>0.63377300000000003</v>
      </c>
      <c r="EG11" s="16"/>
      <c r="EH11" s="16"/>
      <c r="EI11" s="16"/>
      <c r="EM11" s="551">
        <f t="shared" si="120"/>
        <v>8</v>
      </c>
      <c r="EN11" s="677">
        <f t="shared" si="36"/>
        <v>8</v>
      </c>
      <c r="EO11" s="660" t="s">
        <v>397</v>
      </c>
      <c r="EP11" s="723">
        <f t="shared" si="37"/>
        <v>3.0036007251577655E-2</v>
      </c>
      <c r="EQ11" s="650">
        <f t="shared" si="38"/>
        <v>236129.72103057403</v>
      </c>
      <c r="ER11" s="723">
        <f t="shared" si="39"/>
        <v>3.1827972945672349E-2</v>
      </c>
      <c r="ES11" s="650">
        <f t="shared" si="40"/>
        <v>32298.869633415197</v>
      </c>
      <c r="ET11" s="723">
        <f t="shared" si="41"/>
        <v>1.1064169555335294E-2</v>
      </c>
      <c r="EU11" s="650">
        <f t="shared" si="42"/>
        <v>47529.958671195462</v>
      </c>
      <c r="EV11" s="650">
        <f t="shared" si="43"/>
        <v>315958.54933518474</v>
      </c>
      <c r="EW11" s="723">
        <f t="shared" si="44"/>
        <v>2.3986780252105985E-2</v>
      </c>
      <c r="EX11" s="724">
        <f t="shared" si="45"/>
        <v>1.3012649999999999</v>
      </c>
      <c r="FH11" s="551">
        <f t="shared" si="121"/>
        <v>8</v>
      </c>
      <c r="FI11" s="670">
        <f t="shared" si="46"/>
        <v>8</v>
      </c>
      <c r="FJ11" s="660" t="s">
        <v>397</v>
      </c>
      <c r="FK11" s="723">
        <f t="shared" si="47"/>
        <v>3.0036007251577655E-2</v>
      </c>
      <c r="FL11" s="650">
        <f t="shared" si="48"/>
        <v>592362.30491074012</v>
      </c>
      <c r="FM11" s="724">
        <f t="shared" si="49"/>
        <v>2.4396249999999999</v>
      </c>
      <c r="FQ11" s="222">
        <v>8</v>
      </c>
      <c r="FR11" s="670">
        <v>8</v>
      </c>
      <c r="FS11" s="660" t="s">
        <v>397</v>
      </c>
      <c r="FT11" s="650">
        <f t="shared" si="50"/>
        <v>1386642.1566804596</v>
      </c>
      <c r="FU11" s="650">
        <f t="shared" si="51"/>
        <v>422024.44277005817</v>
      </c>
      <c r="FV11" s="650">
        <f t="shared" si="52"/>
        <v>798045.5776947909</v>
      </c>
      <c r="FW11" s="650">
        <f t="shared" si="87"/>
        <v>144683.31608172739</v>
      </c>
      <c r="FX11" s="650">
        <f t="shared" si="53"/>
        <v>153885.72321822654</v>
      </c>
      <c r="FY11" s="650">
        <f t="shared" si="54"/>
        <v>315958.54933518474</v>
      </c>
      <c r="FZ11" s="650">
        <f t="shared" si="55"/>
        <v>592362.30491074012</v>
      </c>
      <c r="GA11" s="650">
        <f t="shared" si="56"/>
        <v>3813602.0706911869</v>
      </c>
      <c r="GB11" s="747">
        <f t="shared" si="57"/>
        <v>15.706196</v>
      </c>
      <c r="GF11" s="551">
        <f t="shared" si="88"/>
        <v>8</v>
      </c>
      <c r="GG11" s="670">
        <f t="shared" si="58"/>
        <v>8</v>
      </c>
      <c r="GH11" s="660" t="s">
        <v>397</v>
      </c>
      <c r="GI11" s="724">
        <f t="shared" si="59"/>
        <v>5.7108410000000003</v>
      </c>
      <c r="GJ11" s="724">
        <f t="shared" si="60"/>
        <v>1.738094</v>
      </c>
      <c r="GK11" s="724">
        <f t="shared" si="61"/>
        <v>3.2867250000000001</v>
      </c>
      <c r="GL11" s="724">
        <f t="shared" si="62"/>
        <v>0.59587400000000001</v>
      </c>
      <c r="GM11" s="724">
        <f t="shared" si="63"/>
        <v>0.63377300000000003</v>
      </c>
      <c r="GN11" s="724">
        <f t="shared" si="64"/>
        <v>1.3012649999999999</v>
      </c>
      <c r="GO11" s="724">
        <f t="shared" si="65"/>
        <v>2.4396249999999999</v>
      </c>
      <c r="GP11" s="724">
        <f t="shared" si="66"/>
        <v>15.706196</v>
      </c>
      <c r="GQ11" s="661">
        <f t="shared" si="130"/>
        <v>24280875.928943142</v>
      </c>
      <c r="GR11" s="530"/>
      <c r="GU11" s="222">
        <f t="shared" si="90"/>
        <v>8</v>
      </c>
      <c r="GV11" s="670">
        <f t="shared" si="67"/>
        <v>8</v>
      </c>
      <c r="GW11" s="660" t="s">
        <v>397</v>
      </c>
      <c r="GX11" s="663" t="s">
        <v>379</v>
      </c>
      <c r="GY11" s="671">
        <f t="shared" si="68"/>
        <v>3813602.0706911869</v>
      </c>
      <c r="GZ11" s="661">
        <f t="shared" si="69"/>
        <v>24280875.928943142</v>
      </c>
      <c r="HA11" s="724">
        <f t="shared" si="91"/>
        <v>15.706196</v>
      </c>
      <c r="HB11" s="650">
        <f t="shared" si="70"/>
        <v>3813601.9639166309</v>
      </c>
      <c r="HC11" s="750">
        <f t="shared" si="71"/>
        <v>-0.1067745559848845</v>
      </c>
      <c r="HD11" s="549"/>
      <c r="HG11" s="549"/>
      <c r="HH11" s="549"/>
      <c r="HI11" s="549"/>
      <c r="HJ11" s="549"/>
      <c r="HK11" s="549"/>
      <c r="HL11" s="549"/>
      <c r="HM11" s="549"/>
      <c r="HP11" s="551">
        <f t="shared" si="122"/>
        <v>8</v>
      </c>
      <c r="HQ11" s="762">
        <f t="shared" si="72"/>
        <v>8</v>
      </c>
      <c r="HR11" s="660" t="s">
        <v>397</v>
      </c>
      <c r="HS11" s="661">
        <f t="shared" si="131"/>
        <v>24280875.928943142</v>
      </c>
      <c r="HT11" s="757">
        <f t="shared" si="93"/>
        <v>15.706196</v>
      </c>
      <c r="HU11" s="757">
        <v>13.854915</v>
      </c>
      <c r="HV11" s="651">
        <f t="shared" si="94"/>
        <v>0.13361908030471503</v>
      </c>
      <c r="HW11" s="757">
        <f t="shared" si="95"/>
        <v>1.8512810000000002</v>
      </c>
      <c r="HX11" s="652">
        <v>25</v>
      </c>
      <c r="IO11" s="551">
        <v>8</v>
      </c>
      <c r="IP11" s="762">
        <v>8</v>
      </c>
      <c r="IQ11" s="660" t="s">
        <v>397</v>
      </c>
      <c r="IR11" s="772">
        <f t="shared" si="96"/>
        <v>3813602.0706911869</v>
      </c>
      <c r="IS11" s="773">
        <f t="shared" si="96"/>
        <v>24280875.928943142</v>
      </c>
      <c r="IT11" s="774">
        <f t="shared" si="96"/>
        <v>15.706196</v>
      </c>
      <c r="IU11" s="661">
        <f t="shared" si="97"/>
        <v>3553633.467382289</v>
      </c>
      <c r="IV11" s="661">
        <f t="shared" si="98"/>
        <v>20727242.461560853</v>
      </c>
      <c r="IW11" s="772">
        <f t="shared" si="99"/>
        <v>53304.50201073433</v>
      </c>
      <c r="IX11" s="772">
        <f t="shared" si="100"/>
        <v>3760297.5686804526</v>
      </c>
      <c r="IY11" s="455">
        <f t="shared" si="101"/>
        <v>15.486663577066945</v>
      </c>
      <c r="IZ11" s="555">
        <f t="shared" si="102"/>
        <v>16.986663577066945</v>
      </c>
      <c r="JA11" s="772">
        <f t="shared" si="103"/>
        <v>3813602.0706911874</v>
      </c>
      <c r="JB11" s="778">
        <f t="shared" si="104"/>
        <v>0.21953242293305486</v>
      </c>
      <c r="JF11" s="551">
        <f t="shared" si="123"/>
        <v>8</v>
      </c>
      <c r="JG11" s="762">
        <f t="shared" si="73"/>
        <v>8</v>
      </c>
      <c r="JH11" s="660" t="s">
        <v>397</v>
      </c>
      <c r="JI11" s="661">
        <f t="shared" si="132"/>
        <v>24280875.928943142</v>
      </c>
      <c r="JJ11" s="757">
        <f t="shared" si="106"/>
        <v>15.486663577066945</v>
      </c>
      <c r="JK11" s="757">
        <v>13.632681649993463</v>
      </c>
      <c r="JL11" s="651">
        <f t="shared" si="126"/>
        <v>0.13599539508607039</v>
      </c>
      <c r="JM11" s="757">
        <f t="shared" si="108"/>
        <v>1.8539819270734821</v>
      </c>
      <c r="JN11" s="652">
        <v>25</v>
      </c>
      <c r="JS11" s="757">
        <v>15.521286813601382</v>
      </c>
      <c r="JT11" s="757">
        <f t="shared" si="109"/>
        <v>-3.462323653443633E-2</v>
      </c>
      <c r="JU11" s="1010">
        <v>24199719</v>
      </c>
      <c r="JV11" s="1009">
        <f t="shared" si="110"/>
        <v>-81156.928943142295</v>
      </c>
      <c r="JW11" s="978">
        <f t="shared" si="124"/>
        <v>-2.2306936886248253E-3</v>
      </c>
      <c r="JX11" s="997">
        <v>3756107.7940755878</v>
      </c>
      <c r="JY11" s="997">
        <f t="shared" si="111"/>
        <v>3760297.5686804526</v>
      </c>
      <c r="JZ11" s="516"/>
      <c r="KA11" s="516"/>
      <c r="KB11" s="516"/>
      <c r="KC11" s="516"/>
      <c r="KE11" s="516"/>
      <c r="KF11" s="516"/>
    </row>
    <row r="12" spans="1:292" ht="16.5" x14ac:dyDescent="0.3">
      <c r="A12" s="543">
        <v>9</v>
      </c>
      <c r="B12" s="645" t="s">
        <v>383</v>
      </c>
      <c r="C12" s="646">
        <f>-'ABDA 3 month Phase I'!MC10</f>
        <v>-335442.86620895599</v>
      </c>
      <c r="D12" s="647">
        <f t="shared" si="0"/>
        <v>-2.5879164794568692E-3</v>
      </c>
      <c r="E12" s="986">
        <v>-1.5283646938919929E-2</v>
      </c>
      <c r="I12" s="543">
        <f t="shared" si="112"/>
        <v>9</v>
      </c>
      <c r="J12" s="654">
        <f t="shared" si="1"/>
        <v>9</v>
      </c>
      <c r="K12" s="655" t="s">
        <v>398</v>
      </c>
      <c r="L12" s="991">
        <v>120418432.83406256</v>
      </c>
      <c r="M12" s="657">
        <f t="shared" si="127"/>
        <v>5.487157721833532E-2</v>
      </c>
      <c r="N12" s="656">
        <v>855</v>
      </c>
      <c r="O12" s="656">
        <f t="shared" si="128"/>
        <v>140840.272320541</v>
      </c>
      <c r="P12" s="657">
        <f t="shared" si="3"/>
        <v>7.9026974780552317E-2</v>
      </c>
      <c r="Q12" s="658" t="s">
        <v>379</v>
      </c>
      <c r="U12" s="545">
        <f t="shared" si="113"/>
        <v>9</v>
      </c>
      <c r="V12" s="669">
        <f t="shared" si="4"/>
        <v>9</v>
      </c>
      <c r="W12" s="655" t="s">
        <v>398</v>
      </c>
      <c r="X12" s="646">
        <f t="shared" si="75"/>
        <v>8467148.9647407662</v>
      </c>
      <c r="Y12" s="657">
        <f t="shared" si="5"/>
        <v>8.7536912525222818E-2</v>
      </c>
      <c r="AC12" s="545">
        <f t="shared" si="114"/>
        <v>9</v>
      </c>
      <c r="AD12" s="678">
        <v>9</v>
      </c>
      <c r="AE12" s="679" t="s">
        <v>398</v>
      </c>
      <c r="AF12" s="680">
        <v>5.86</v>
      </c>
      <c r="AP12" s="545">
        <f t="shared" si="77"/>
        <v>9</v>
      </c>
      <c r="AQ12" s="693">
        <f t="shared" si="6"/>
        <v>9</v>
      </c>
      <c r="AR12" s="655" t="s">
        <v>398</v>
      </c>
      <c r="AS12" s="655">
        <f t="shared" si="7"/>
        <v>5.86</v>
      </c>
      <c r="AT12" s="694">
        <f t="shared" si="129"/>
        <v>120418432.83406256</v>
      </c>
      <c r="AU12" s="694">
        <f t="shared" si="115"/>
        <v>196014.44900211293</v>
      </c>
      <c r="AV12" s="695">
        <f>AU12*$AL$5/$AU$28</f>
        <v>202421.4857907845</v>
      </c>
      <c r="AW12" s="696">
        <f t="shared" si="9"/>
        <v>21.592508896755888</v>
      </c>
      <c r="AX12" s="646">
        <f t="shared" si="125"/>
        <v>4370787.7328320602</v>
      </c>
      <c r="AY12" s="544">
        <f t="shared" si="79"/>
        <v>0.10388465767486328</v>
      </c>
      <c r="AZ12" s="548">
        <f t="shared" si="10"/>
        <v>3.629667</v>
      </c>
      <c r="BK12" s="543">
        <f t="shared" si="116"/>
        <v>9</v>
      </c>
      <c r="BL12" s="658">
        <f t="shared" si="11"/>
        <v>9</v>
      </c>
      <c r="BM12" s="655" t="s">
        <v>398</v>
      </c>
      <c r="BN12" s="657">
        <f t="shared" si="80"/>
        <v>0.10388465767486328</v>
      </c>
      <c r="BO12" s="646">
        <f t="shared" si="81"/>
        <v>995912.38661053323</v>
      </c>
      <c r="BP12" s="657">
        <f t="shared" si="82"/>
        <v>5.487157721833532E-2</v>
      </c>
      <c r="BQ12" s="646">
        <f t="shared" si="83"/>
        <v>526038.05651100841</v>
      </c>
      <c r="BR12" s="708">
        <f t="shared" si="12"/>
        <v>1521950.4431215418</v>
      </c>
      <c r="BS12" s="709">
        <f t="shared" si="13"/>
        <v>1.2638849999999999</v>
      </c>
      <c r="BV12" s="15"/>
      <c r="BW12" s="190"/>
      <c r="BX12" s="190"/>
      <c r="BY12" s="190"/>
      <c r="BZ12" s="190"/>
      <c r="CA12" s="190"/>
      <c r="CB12" s="190"/>
      <c r="CC12" s="190"/>
      <c r="CD12" s="190"/>
      <c r="CH12" s="543">
        <f t="shared" si="117"/>
        <v>9</v>
      </c>
      <c r="CI12" s="678">
        <f t="shared" si="15"/>
        <v>9</v>
      </c>
      <c r="CJ12" s="655" t="s">
        <v>398</v>
      </c>
      <c r="CK12" s="657">
        <f t="shared" si="16"/>
        <v>5.487157721833532E-2</v>
      </c>
      <c r="CL12" s="646">
        <f t="shared" si="17"/>
        <v>321642.85192947328</v>
      </c>
      <c r="CM12" s="657">
        <f t="shared" si="18"/>
        <v>7.9026974780552317E-2</v>
      </c>
      <c r="CN12" s="646">
        <f t="shared" si="19"/>
        <v>1518264.4970983111</v>
      </c>
      <c r="CO12" s="646">
        <f t="shared" si="20"/>
        <v>1839907.3490277843</v>
      </c>
      <c r="CP12" s="657">
        <f t="shared" si="21"/>
        <v>7.3379920851834188E-2</v>
      </c>
      <c r="CQ12" s="709">
        <f t="shared" si="22"/>
        <v>1.527928</v>
      </c>
      <c r="DD12" s="15"/>
      <c r="DG12" s="545">
        <f t="shared" si="118"/>
        <v>9</v>
      </c>
      <c r="DH12" s="739">
        <f t="shared" si="24"/>
        <v>9</v>
      </c>
      <c r="DI12" s="655" t="s">
        <v>398</v>
      </c>
      <c r="DJ12" s="657">
        <f t="shared" si="25"/>
        <v>7.3379920851834188E-2</v>
      </c>
      <c r="DK12" s="646">
        <f t="shared" si="84"/>
        <v>27641.829808526123</v>
      </c>
      <c r="DL12" s="657">
        <f t="shared" si="26"/>
        <v>7.9026974780552317E-2</v>
      </c>
      <c r="DM12" s="646">
        <f t="shared" si="27"/>
        <v>193468.74315647763</v>
      </c>
      <c r="DN12" s="657">
        <f t="shared" si="28"/>
        <v>5.487157721833532E-2</v>
      </c>
      <c r="DO12" s="646">
        <f t="shared" si="29"/>
        <v>194731.76575759263</v>
      </c>
      <c r="DP12" s="646">
        <f t="shared" si="85"/>
        <v>415842.33872259641</v>
      </c>
      <c r="DQ12" s="657">
        <f t="shared" si="30"/>
        <v>6.5243534114333063E-2</v>
      </c>
      <c r="DR12" s="709">
        <f t="shared" si="31"/>
        <v>0.345331</v>
      </c>
      <c r="DV12" s="545">
        <f t="shared" si="119"/>
        <v>9</v>
      </c>
      <c r="DW12" s="739">
        <f t="shared" si="32"/>
        <v>9</v>
      </c>
      <c r="DX12" s="655" t="s">
        <v>398</v>
      </c>
      <c r="DY12" s="657">
        <f t="shared" si="33"/>
        <v>7.9026974780552317E-2</v>
      </c>
      <c r="DZ12" s="646">
        <f t="shared" si="34"/>
        <v>318661.10103678284</v>
      </c>
      <c r="EA12" s="709">
        <f t="shared" si="35"/>
        <v>0.26462799999999997</v>
      </c>
      <c r="EM12" s="545">
        <f t="shared" si="120"/>
        <v>9</v>
      </c>
      <c r="EN12" s="739">
        <f t="shared" si="36"/>
        <v>9</v>
      </c>
      <c r="EO12" s="655" t="s">
        <v>398</v>
      </c>
      <c r="EP12" s="657">
        <f t="shared" si="37"/>
        <v>8.7536912525222818E-2</v>
      </c>
      <c r="EQ12" s="646">
        <f t="shared" si="38"/>
        <v>688176.24664053577</v>
      </c>
      <c r="ER12" s="657">
        <f t="shared" si="39"/>
        <v>7.3379920851834188E-2</v>
      </c>
      <c r="ES12" s="646">
        <f t="shared" si="40"/>
        <v>74465.580995348268</v>
      </c>
      <c r="ET12" s="657">
        <f t="shared" si="41"/>
        <v>5.487157721833532E-2</v>
      </c>
      <c r="EU12" s="646">
        <f t="shared" si="42"/>
        <v>235719.79662523826</v>
      </c>
      <c r="EV12" s="646">
        <f t="shared" si="43"/>
        <v>998361.62426112231</v>
      </c>
      <c r="EW12" s="657">
        <f t="shared" si="44"/>
        <v>7.5793109392594565E-2</v>
      </c>
      <c r="EX12" s="709">
        <f t="shared" si="45"/>
        <v>0.82907699999999995</v>
      </c>
      <c r="FH12" s="545">
        <f t="shared" si="121"/>
        <v>9</v>
      </c>
      <c r="FI12" s="669">
        <f t="shared" si="46"/>
        <v>9</v>
      </c>
      <c r="FJ12" s="655" t="s">
        <v>398</v>
      </c>
      <c r="FK12" s="657">
        <f t="shared" si="47"/>
        <v>8.7536912525222818E-2</v>
      </c>
      <c r="FL12" s="646">
        <f t="shared" si="48"/>
        <v>1726380.1687718392</v>
      </c>
      <c r="FM12" s="709">
        <f t="shared" si="49"/>
        <v>1.433651</v>
      </c>
      <c r="FQ12" s="543">
        <v>9</v>
      </c>
      <c r="FR12" s="669">
        <v>9</v>
      </c>
      <c r="FS12" s="655" t="s">
        <v>398</v>
      </c>
      <c r="FT12" s="646">
        <f t="shared" si="50"/>
        <v>4370787.7328320602</v>
      </c>
      <c r="FU12" s="646">
        <f t="shared" si="51"/>
        <v>1521950.4431215418</v>
      </c>
      <c r="FV12" s="646">
        <f t="shared" si="52"/>
        <v>1839907.3490277843</v>
      </c>
      <c r="FW12" s="646">
        <f t="shared" si="87"/>
        <v>415842.33872259641</v>
      </c>
      <c r="FX12" s="646">
        <f t="shared" si="53"/>
        <v>318661.10103678284</v>
      </c>
      <c r="FY12" s="646">
        <f t="shared" si="54"/>
        <v>998361.62426112231</v>
      </c>
      <c r="FZ12" s="646">
        <f t="shared" si="55"/>
        <v>1726380.1687718392</v>
      </c>
      <c r="GA12" s="646">
        <f t="shared" si="56"/>
        <v>11191890.757773727</v>
      </c>
      <c r="GB12" s="746">
        <f t="shared" si="57"/>
        <v>9.2941669999999998</v>
      </c>
      <c r="GF12" s="545">
        <f t="shared" si="88"/>
        <v>9</v>
      </c>
      <c r="GG12" s="669">
        <f t="shared" si="58"/>
        <v>9</v>
      </c>
      <c r="GH12" s="655" t="s">
        <v>398</v>
      </c>
      <c r="GI12" s="709">
        <f t="shared" si="59"/>
        <v>3.629667</v>
      </c>
      <c r="GJ12" s="709">
        <f t="shared" si="60"/>
        <v>1.2638849999999999</v>
      </c>
      <c r="GK12" s="709">
        <f t="shared" si="61"/>
        <v>1.527928</v>
      </c>
      <c r="GL12" s="709">
        <f t="shared" si="62"/>
        <v>0.345331</v>
      </c>
      <c r="GM12" s="709">
        <f t="shared" si="63"/>
        <v>0.26462799999999997</v>
      </c>
      <c r="GN12" s="709">
        <f t="shared" si="64"/>
        <v>0.82907699999999995</v>
      </c>
      <c r="GO12" s="709">
        <f t="shared" si="65"/>
        <v>1.433651</v>
      </c>
      <c r="GP12" s="709">
        <f t="shared" si="66"/>
        <v>9.2941669999999998</v>
      </c>
      <c r="GQ12" s="656">
        <f t="shared" si="130"/>
        <v>120418432.83406256</v>
      </c>
      <c r="GR12" s="530"/>
      <c r="GU12" s="543">
        <f t="shared" si="90"/>
        <v>9</v>
      </c>
      <c r="GV12" s="669">
        <f t="shared" si="67"/>
        <v>9</v>
      </c>
      <c r="GW12" s="655" t="s">
        <v>398</v>
      </c>
      <c r="GX12" s="658" t="s">
        <v>379</v>
      </c>
      <c r="GY12" s="646">
        <f t="shared" si="68"/>
        <v>11191890.757773727</v>
      </c>
      <c r="GZ12" s="656">
        <f t="shared" si="69"/>
        <v>120418432.83406256</v>
      </c>
      <c r="HA12" s="709">
        <f t="shared" si="91"/>
        <v>9.2941669999999998</v>
      </c>
      <c r="HB12" s="646">
        <f t="shared" si="70"/>
        <v>11191890.246380609</v>
      </c>
      <c r="HC12" s="749">
        <f t="shared" si="71"/>
        <v>-0.51139311864972115</v>
      </c>
      <c r="HD12" s="549"/>
      <c r="HG12" s="549"/>
      <c r="HH12" s="549"/>
      <c r="HI12" s="549"/>
      <c r="HJ12" s="549"/>
      <c r="HK12" s="549"/>
      <c r="HL12" s="549"/>
      <c r="HM12" s="549"/>
      <c r="HP12" s="545">
        <f t="shared" si="122"/>
        <v>9</v>
      </c>
      <c r="HQ12" s="761">
        <f t="shared" si="72"/>
        <v>9</v>
      </c>
      <c r="HR12" s="655" t="s">
        <v>398</v>
      </c>
      <c r="HS12" s="656">
        <f t="shared" si="131"/>
        <v>120418432.83406256</v>
      </c>
      <c r="HT12" s="756">
        <f t="shared" si="93"/>
        <v>9.2941669999999998</v>
      </c>
      <c r="HU12" s="756">
        <v>8.1251270000000009</v>
      </c>
      <c r="HV12" s="647">
        <f t="shared" si="94"/>
        <v>0.14387959720506505</v>
      </c>
      <c r="HW12" s="756">
        <f t="shared" si="95"/>
        <v>1.169039999999999</v>
      </c>
      <c r="HX12" s="648">
        <v>10</v>
      </c>
      <c r="IO12" s="545">
        <v>9</v>
      </c>
      <c r="IP12" s="761">
        <v>9</v>
      </c>
      <c r="IQ12" s="655" t="s">
        <v>398</v>
      </c>
      <c r="IR12" s="769">
        <f t="shared" si="96"/>
        <v>11191890.757773727</v>
      </c>
      <c r="IS12" s="770">
        <f t="shared" si="96"/>
        <v>120418432.83406256</v>
      </c>
      <c r="IT12" s="771">
        <f t="shared" si="96"/>
        <v>9.2941669999999998</v>
      </c>
      <c r="IU12" s="656">
        <f t="shared" si="97"/>
        <v>17623868.853049114</v>
      </c>
      <c r="IV12" s="656">
        <f t="shared" si="98"/>
        <v>102794563.98101345</v>
      </c>
      <c r="IW12" s="769">
        <f t="shared" si="99"/>
        <v>264358.03279573668</v>
      </c>
      <c r="IX12" s="769">
        <f t="shared" si="100"/>
        <v>10927532.724977991</v>
      </c>
      <c r="IY12" s="550">
        <f t="shared" si="101"/>
        <v>9.0746345619994973</v>
      </c>
      <c r="IZ12" s="550">
        <f t="shared" si="102"/>
        <v>10.574634561999497</v>
      </c>
      <c r="JA12" s="769">
        <f t="shared" si="103"/>
        <v>11191890.757773729</v>
      </c>
      <c r="JB12" s="746">
        <f t="shared" si="104"/>
        <v>0.21953243800050259</v>
      </c>
      <c r="JF12" s="545">
        <f t="shared" si="123"/>
        <v>9</v>
      </c>
      <c r="JG12" s="761">
        <f t="shared" si="73"/>
        <v>9</v>
      </c>
      <c r="JH12" s="655" t="s">
        <v>398</v>
      </c>
      <c r="JI12" s="656">
        <f t="shared" si="132"/>
        <v>120418432.83406256</v>
      </c>
      <c r="JJ12" s="756">
        <f t="shared" si="106"/>
        <v>9.0746345619994973</v>
      </c>
      <c r="JK12" s="756">
        <v>7.902894267014676</v>
      </c>
      <c r="JL12" s="647">
        <f t="shared" si="126"/>
        <v>0.14826723671041186</v>
      </c>
      <c r="JM12" s="756">
        <f t="shared" si="108"/>
        <v>1.1717402949848212</v>
      </c>
      <c r="JN12" s="648">
        <v>10</v>
      </c>
      <c r="JS12" s="756">
        <v>9.0929707915554143</v>
      </c>
      <c r="JT12" s="756">
        <f t="shared" si="109"/>
        <v>-1.8336229555917072E-2</v>
      </c>
      <c r="JU12" s="1009">
        <v>119687775</v>
      </c>
      <c r="JV12" s="1009">
        <f t="shared" si="110"/>
        <v>-730657.83406256139</v>
      </c>
      <c r="JW12" s="978">
        <f t="shared" si="124"/>
        <v>-2.0165279286881482E-3</v>
      </c>
      <c r="JX12" s="997">
        <v>10883174.421812562</v>
      </c>
      <c r="JY12" s="997">
        <f t="shared" si="111"/>
        <v>10927532.724977992</v>
      </c>
      <c r="JZ12" s="516"/>
      <c r="KA12" s="516"/>
      <c r="KB12" s="516"/>
      <c r="KC12" s="516"/>
      <c r="KE12" s="516"/>
      <c r="KF12" s="516"/>
    </row>
    <row r="13" spans="1:292" ht="20.25" customHeight="1" x14ac:dyDescent="0.3">
      <c r="A13" s="579">
        <v>10</v>
      </c>
      <c r="B13" s="786" t="s">
        <v>283</v>
      </c>
      <c r="C13" s="787">
        <f>SUM(C4:C12)</f>
        <v>129618891.82735759</v>
      </c>
      <c r="D13" s="788">
        <f>SUM(D4:D12)</f>
        <v>1</v>
      </c>
      <c r="E13" s="789">
        <f>SUM(E4:E12)</f>
        <v>5.9055510012352554</v>
      </c>
      <c r="I13" s="222">
        <f t="shared" si="112"/>
        <v>10</v>
      </c>
      <c r="J13" s="659">
        <f t="shared" si="1"/>
        <v>10</v>
      </c>
      <c r="K13" s="660" t="s">
        <v>399</v>
      </c>
      <c r="L13" s="991">
        <v>4889550.8363437131</v>
      </c>
      <c r="M13" s="662">
        <f t="shared" si="127"/>
        <v>2.2280423350893941E-3</v>
      </c>
      <c r="N13" s="661">
        <v>351</v>
      </c>
      <c r="O13" s="661">
        <f t="shared" si="128"/>
        <v>13930.344263087502</v>
      </c>
      <c r="P13" s="662">
        <f t="shared" si="3"/>
        <v>7.8164643295912575E-3</v>
      </c>
      <c r="Q13" s="663" t="s">
        <v>379</v>
      </c>
      <c r="U13" s="551">
        <f t="shared" si="113"/>
        <v>10</v>
      </c>
      <c r="V13" s="670">
        <f t="shared" si="4"/>
        <v>10</v>
      </c>
      <c r="W13" s="660" t="s">
        <v>399</v>
      </c>
      <c r="X13" s="671">
        <f t="shared" si="75"/>
        <v>686635.30198598141</v>
      </c>
      <c r="Y13" s="662">
        <f t="shared" si="5"/>
        <v>7.0987217323059152E-3</v>
      </c>
      <c r="AC13" s="551">
        <f t="shared" si="114"/>
        <v>10</v>
      </c>
      <c r="AD13" s="681">
        <v>10</v>
      </c>
      <c r="AE13" s="682" t="s">
        <v>399</v>
      </c>
      <c r="AF13" s="683">
        <v>11.86</v>
      </c>
      <c r="AP13" s="551">
        <f t="shared" si="77"/>
        <v>10</v>
      </c>
      <c r="AQ13" s="697">
        <f t="shared" si="6"/>
        <v>10</v>
      </c>
      <c r="AR13" s="660" t="s">
        <v>399</v>
      </c>
      <c r="AS13" s="660">
        <f t="shared" si="7"/>
        <v>11.86</v>
      </c>
      <c r="AT13" s="698">
        <f t="shared" si="129"/>
        <v>4889550.8363437131</v>
      </c>
      <c r="AU13" s="698">
        <f t="shared" si="115"/>
        <v>16108.353588621232</v>
      </c>
      <c r="AV13" s="699">
        <f t="shared" si="8"/>
        <v>16634.880151191694</v>
      </c>
      <c r="AW13" s="700">
        <f t="shared" si="9"/>
        <v>21.592508896755888</v>
      </c>
      <c r="AX13" s="671">
        <f t="shared" si="125"/>
        <v>359188.79766107455</v>
      </c>
      <c r="AY13" s="465">
        <f t="shared" si="79"/>
        <v>8.5371808393652319E-3</v>
      </c>
      <c r="AZ13" s="553">
        <f t="shared" si="10"/>
        <v>7.3460489999999998</v>
      </c>
      <c r="BK13" s="222">
        <f t="shared" si="116"/>
        <v>10</v>
      </c>
      <c r="BL13" s="663">
        <f t="shared" si="11"/>
        <v>10</v>
      </c>
      <c r="BM13" s="660" t="s">
        <v>399</v>
      </c>
      <c r="BN13" s="662">
        <f t="shared" si="80"/>
        <v>8.5371808393652319E-3</v>
      </c>
      <c r="BO13" s="671">
        <f t="shared" si="81"/>
        <v>81843.501581034914</v>
      </c>
      <c r="BP13" s="662">
        <f t="shared" si="82"/>
        <v>2.2280423350893941E-3</v>
      </c>
      <c r="BQ13" s="671">
        <f t="shared" si="83"/>
        <v>21359.602169099646</v>
      </c>
      <c r="BR13" s="710">
        <f t="shared" si="12"/>
        <v>103203.10375013456</v>
      </c>
      <c r="BS13" s="711">
        <f t="shared" si="13"/>
        <v>2.110687</v>
      </c>
      <c r="BV13" s="15"/>
      <c r="BW13" s="190"/>
      <c r="BX13" s="190"/>
      <c r="BY13" s="190"/>
      <c r="BZ13" s="190"/>
      <c r="CA13" s="190"/>
      <c r="CB13" s="190"/>
      <c r="CC13" s="190"/>
      <c r="CD13" s="190"/>
      <c r="CH13" s="222">
        <f t="shared" si="117"/>
        <v>10</v>
      </c>
      <c r="CI13" s="681">
        <f t="shared" si="15"/>
        <v>10</v>
      </c>
      <c r="CJ13" s="660" t="s">
        <v>399</v>
      </c>
      <c r="CK13" s="723">
        <f t="shared" si="16"/>
        <v>2.2280423350893941E-3</v>
      </c>
      <c r="CL13" s="650">
        <f t="shared" si="17"/>
        <v>13060.202152131558</v>
      </c>
      <c r="CM13" s="723">
        <f t="shared" si="18"/>
        <v>7.8164643295912575E-3</v>
      </c>
      <c r="CN13" s="650">
        <f t="shared" si="19"/>
        <v>150169.74036280852</v>
      </c>
      <c r="CO13" s="650">
        <f t="shared" si="20"/>
        <v>163229.94251494008</v>
      </c>
      <c r="CP13" s="723">
        <f t="shared" si="21"/>
        <v>6.5100018589114685E-3</v>
      </c>
      <c r="CQ13" s="724">
        <f t="shared" si="22"/>
        <v>3.3383419999999999</v>
      </c>
      <c r="DC13" s="198"/>
      <c r="DD13" s="15"/>
      <c r="DG13" s="551">
        <f t="shared" si="118"/>
        <v>10</v>
      </c>
      <c r="DH13" s="677">
        <f t="shared" si="24"/>
        <v>10</v>
      </c>
      <c r="DI13" s="660" t="s">
        <v>399</v>
      </c>
      <c r="DJ13" s="723">
        <f t="shared" si="25"/>
        <v>6.5100018589114685E-3</v>
      </c>
      <c r="DK13" s="650">
        <f t="shared" si="84"/>
        <v>2452.2834223351651</v>
      </c>
      <c r="DL13" s="723">
        <f t="shared" si="26"/>
        <v>7.8164643295912575E-3</v>
      </c>
      <c r="DM13" s="650">
        <f t="shared" si="27"/>
        <v>19135.763882810385</v>
      </c>
      <c r="DN13" s="723">
        <f t="shared" si="28"/>
        <v>2.2280423350893941E-3</v>
      </c>
      <c r="DO13" s="650">
        <f t="shared" si="29"/>
        <v>7907.0192636935881</v>
      </c>
      <c r="DP13" s="650">
        <f t="shared" si="85"/>
        <v>29495.066568839138</v>
      </c>
      <c r="DQ13" s="723">
        <f t="shared" si="30"/>
        <v>4.6276249498786622E-3</v>
      </c>
      <c r="DR13" s="724">
        <f t="shared" si="31"/>
        <v>0.60322699999999996</v>
      </c>
      <c r="DV13" s="551">
        <f t="shared" si="119"/>
        <v>10</v>
      </c>
      <c r="DW13" s="677">
        <f t="shared" si="32"/>
        <v>10</v>
      </c>
      <c r="DX13" s="660" t="s">
        <v>399</v>
      </c>
      <c r="DY13" s="723">
        <f t="shared" si="33"/>
        <v>7.8164643295912575E-3</v>
      </c>
      <c r="DZ13" s="650">
        <f t="shared" si="34"/>
        <v>31518.391490993126</v>
      </c>
      <c r="EA13" s="724">
        <f t="shared" si="35"/>
        <v>0.64460700000000004</v>
      </c>
      <c r="EM13" s="551">
        <f t="shared" si="120"/>
        <v>10</v>
      </c>
      <c r="EN13" s="677">
        <f t="shared" si="36"/>
        <v>10</v>
      </c>
      <c r="EO13" s="660" t="s">
        <v>399</v>
      </c>
      <c r="EP13" s="723">
        <f t="shared" si="37"/>
        <v>7.0987217323059152E-3</v>
      </c>
      <c r="EQ13" s="650">
        <f t="shared" si="38"/>
        <v>55806.990865439504</v>
      </c>
      <c r="ER13" s="723">
        <f t="shared" si="39"/>
        <v>6.5100018589114685E-3</v>
      </c>
      <c r="ES13" s="650">
        <f t="shared" si="40"/>
        <v>6606.3177103102935</v>
      </c>
      <c r="ET13" s="723">
        <f t="shared" si="41"/>
        <v>2.2280423350893941E-3</v>
      </c>
      <c r="EU13" s="650">
        <f t="shared" si="42"/>
        <v>9571.3247681934608</v>
      </c>
      <c r="EV13" s="650">
        <f t="shared" si="43"/>
        <v>71984.633343943264</v>
      </c>
      <c r="EW13" s="723">
        <f t="shared" si="44"/>
        <v>5.464892737299663E-3</v>
      </c>
      <c r="EX13" s="724">
        <f t="shared" si="45"/>
        <v>1.4722139999999999</v>
      </c>
      <c r="FH13" s="551">
        <f t="shared" si="121"/>
        <v>10</v>
      </c>
      <c r="FI13" s="670">
        <f t="shared" si="46"/>
        <v>10</v>
      </c>
      <c r="FJ13" s="660" t="s">
        <v>399</v>
      </c>
      <c r="FK13" s="723">
        <f t="shared" si="47"/>
        <v>7.0987217323059152E-3</v>
      </c>
      <c r="FL13" s="650">
        <f t="shared" si="48"/>
        <v>139999.13943448069</v>
      </c>
      <c r="FM13" s="724">
        <f t="shared" si="49"/>
        <v>2.8632309999999999</v>
      </c>
      <c r="FQ13" s="222">
        <f t="shared" si="86"/>
        <v>10</v>
      </c>
      <c r="FR13" s="670">
        <v>10</v>
      </c>
      <c r="FS13" s="660" t="s">
        <v>399</v>
      </c>
      <c r="FT13" s="650">
        <f t="shared" si="50"/>
        <v>359188.79766107455</v>
      </c>
      <c r="FU13" s="650">
        <f t="shared" si="51"/>
        <v>103203.10375013456</v>
      </c>
      <c r="FV13" s="650">
        <f t="shared" si="52"/>
        <v>163229.94251494008</v>
      </c>
      <c r="FW13" s="650">
        <f t="shared" si="87"/>
        <v>29495.066568839138</v>
      </c>
      <c r="FX13" s="650">
        <f t="shared" si="53"/>
        <v>31518.391490993126</v>
      </c>
      <c r="FY13" s="650">
        <f t="shared" si="54"/>
        <v>71984.633343943264</v>
      </c>
      <c r="FZ13" s="650">
        <f t="shared" si="55"/>
        <v>139999.13943448069</v>
      </c>
      <c r="GA13" s="650">
        <f t="shared" si="56"/>
        <v>898619.07476440538</v>
      </c>
      <c r="GB13" s="747">
        <f t="shared" si="57"/>
        <v>18.378356</v>
      </c>
      <c r="GF13" s="551">
        <f t="shared" si="88"/>
        <v>10</v>
      </c>
      <c r="GG13" s="670">
        <f t="shared" si="58"/>
        <v>10</v>
      </c>
      <c r="GH13" s="660" t="s">
        <v>399</v>
      </c>
      <c r="GI13" s="724">
        <f t="shared" si="59"/>
        <v>7.3460489999999998</v>
      </c>
      <c r="GJ13" s="724">
        <f t="shared" si="60"/>
        <v>2.110687</v>
      </c>
      <c r="GK13" s="724">
        <f t="shared" si="61"/>
        <v>3.3383419999999999</v>
      </c>
      <c r="GL13" s="724">
        <f t="shared" si="62"/>
        <v>0.60322699999999996</v>
      </c>
      <c r="GM13" s="724">
        <f t="shared" si="63"/>
        <v>0.64460700000000004</v>
      </c>
      <c r="GN13" s="724">
        <f t="shared" si="64"/>
        <v>1.4722139999999999</v>
      </c>
      <c r="GO13" s="724">
        <f t="shared" si="65"/>
        <v>2.8632309999999999</v>
      </c>
      <c r="GP13" s="724">
        <f t="shared" si="66"/>
        <v>18.378356</v>
      </c>
      <c r="GQ13" s="661">
        <f t="shared" si="130"/>
        <v>4889550.8363437131</v>
      </c>
      <c r="GR13" s="530"/>
      <c r="GU13" s="222">
        <f t="shared" si="90"/>
        <v>10</v>
      </c>
      <c r="GV13" s="670">
        <f t="shared" si="67"/>
        <v>10</v>
      </c>
      <c r="GW13" s="660" t="s">
        <v>399</v>
      </c>
      <c r="GX13" s="663" t="s">
        <v>379</v>
      </c>
      <c r="GY13" s="671">
        <f t="shared" si="68"/>
        <v>898619.07476440538</v>
      </c>
      <c r="GZ13" s="661">
        <f t="shared" si="69"/>
        <v>4889550.8363437131</v>
      </c>
      <c r="HA13" s="724">
        <f t="shared" si="91"/>
        <v>18.378356</v>
      </c>
      <c r="HB13" s="650">
        <f t="shared" si="70"/>
        <v>898619.05950422492</v>
      </c>
      <c r="HC13" s="750">
        <f t="shared" si="71"/>
        <v>-1.5260180458426476E-2</v>
      </c>
      <c r="HD13" s="549"/>
      <c r="HG13" s="549"/>
      <c r="HH13" s="549"/>
      <c r="HI13" s="549"/>
      <c r="HJ13" s="549"/>
      <c r="HK13" s="549"/>
      <c r="HL13" s="549"/>
      <c r="HM13" s="549"/>
      <c r="HP13" s="551">
        <f t="shared" si="122"/>
        <v>10</v>
      </c>
      <c r="HQ13" s="762">
        <f t="shared" si="72"/>
        <v>10</v>
      </c>
      <c r="HR13" s="660" t="s">
        <v>399</v>
      </c>
      <c r="HS13" s="661">
        <f t="shared" si="131"/>
        <v>4889550.8363437131</v>
      </c>
      <c r="HT13" s="757">
        <f t="shared" si="93"/>
        <v>18.378356</v>
      </c>
      <c r="HU13" s="757">
        <v>16.197026000000001</v>
      </c>
      <c r="HV13" s="651">
        <f t="shared" si="94"/>
        <v>0.13467472361901489</v>
      </c>
      <c r="HW13" s="757">
        <f t="shared" si="95"/>
        <v>2.1813299999999991</v>
      </c>
      <c r="HX13" s="652">
        <v>25</v>
      </c>
      <c r="IO13" s="551">
        <v>10</v>
      </c>
      <c r="IP13" s="762">
        <v>10</v>
      </c>
      <c r="IQ13" s="660" t="s">
        <v>399</v>
      </c>
      <c r="IR13" s="772">
        <f t="shared" si="96"/>
        <v>898619.07476440538</v>
      </c>
      <c r="IS13" s="773">
        <f t="shared" si="96"/>
        <v>4889550.8363437131</v>
      </c>
      <c r="IT13" s="774">
        <f t="shared" si="96"/>
        <v>18.378356</v>
      </c>
      <c r="IU13" s="661">
        <f t="shared" si="97"/>
        <v>715611.39488324779</v>
      </c>
      <c r="IV13" s="661">
        <f t="shared" si="98"/>
        <v>4173939.4414604651</v>
      </c>
      <c r="IW13" s="772">
        <f t="shared" si="99"/>
        <v>10734.170923248717</v>
      </c>
      <c r="IX13" s="772">
        <f t="shared" si="100"/>
        <v>887884.90384115663</v>
      </c>
      <c r="IY13" s="455">
        <f t="shared" si="101"/>
        <v>18.158823449417191</v>
      </c>
      <c r="IZ13" s="555">
        <f t="shared" si="102"/>
        <v>19.658823449417191</v>
      </c>
      <c r="JA13" s="772">
        <f t="shared" si="103"/>
        <v>898619.07476440514</v>
      </c>
      <c r="JB13" s="778">
        <f t="shared" si="104"/>
        <v>0.21953255058280874</v>
      </c>
      <c r="JF13" s="551">
        <f t="shared" si="123"/>
        <v>10</v>
      </c>
      <c r="JG13" s="762">
        <f t="shared" si="73"/>
        <v>10</v>
      </c>
      <c r="JH13" s="660" t="s">
        <v>399</v>
      </c>
      <c r="JI13" s="661">
        <f t="shared" si="132"/>
        <v>4889550.8363437131</v>
      </c>
      <c r="JJ13" s="757">
        <f t="shared" si="106"/>
        <v>18.158823449417191</v>
      </c>
      <c r="JK13" s="757">
        <v>15.97479251749226</v>
      </c>
      <c r="JL13" s="651">
        <f t="shared" si="126"/>
        <v>0.13671732697206784</v>
      </c>
      <c r="JM13" s="757">
        <f t="shared" si="108"/>
        <v>2.1840309319249318</v>
      </c>
      <c r="JN13" s="652">
        <v>25</v>
      </c>
      <c r="JS13" s="757">
        <v>18.195653385168942</v>
      </c>
      <c r="JT13" s="757">
        <f t="shared" si="109"/>
        <v>-3.6829935751750753E-2</v>
      </c>
      <c r="JU13" s="1010">
        <v>4853908</v>
      </c>
      <c r="JV13" s="1009">
        <f t="shared" si="110"/>
        <v>-35642.836343713105</v>
      </c>
      <c r="JW13" s="978">
        <f t="shared" si="124"/>
        <v>-2.0241062506593135E-3</v>
      </c>
      <c r="JX13" s="997">
        <v>883200.27531498612</v>
      </c>
      <c r="JY13" s="997">
        <f t="shared" si="111"/>
        <v>887884.90384115651</v>
      </c>
      <c r="JZ13" s="516"/>
      <c r="KA13" s="516"/>
      <c r="KB13" s="516"/>
      <c r="KC13" s="516"/>
      <c r="KE13" s="516"/>
      <c r="KF13" s="516"/>
    </row>
    <row r="14" spans="1:292" ht="16.5" x14ac:dyDescent="0.3">
      <c r="C14" s="232"/>
      <c r="I14" s="543">
        <f t="shared" si="112"/>
        <v>11</v>
      </c>
      <c r="J14" s="654">
        <f t="shared" si="1"/>
        <v>11</v>
      </c>
      <c r="K14" s="655" t="s">
        <v>400</v>
      </c>
      <c r="L14" s="991">
        <v>55407922.690746933</v>
      </c>
      <c r="M14" s="657">
        <f t="shared" si="127"/>
        <v>2.5247962765156198E-2</v>
      </c>
      <c r="N14" s="656">
        <v>245</v>
      </c>
      <c r="O14" s="656">
        <f t="shared" si="128"/>
        <v>226154.78649284464</v>
      </c>
      <c r="P14" s="657">
        <f t="shared" si="3"/>
        <v>0.12689785609044593</v>
      </c>
      <c r="Q14" s="658" t="s">
        <v>379</v>
      </c>
      <c r="U14" s="545">
        <f t="shared" si="113"/>
        <v>11</v>
      </c>
      <c r="V14" s="669">
        <f t="shared" si="4"/>
        <v>11</v>
      </c>
      <c r="W14" s="655" t="s">
        <v>400</v>
      </c>
      <c r="X14" s="646">
        <f t="shared" si="75"/>
        <v>7782052.2153434623</v>
      </c>
      <c r="Y14" s="657">
        <f t="shared" si="5"/>
        <v>8.0454096990378574E-2</v>
      </c>
      <c r="AC14" s="545">
        <f t="shared" si="114"/>
        <v>11</v>
      </c>
      <c r="AD14" s="678">
        <v>11</v>
      </c>
      <c r="AE14" s="679" t="s">
        <v>400</v>
      </c>
      <c r="AF14" s="680">
        <v>9.5</v>
      </c>
      <c r="AP14" s="545">
        <f t="shared" si="77"/>
        <v>11</v>
      </c>
      <c r="AQ14" s="693">
        <f t="shared" si="6"/>
        <v>11</v>
      </c>
      <c r="AR14" s="655" t="s">
        <v>400</v>
      </c>
      <c r="AS14" s="655">
        <f t="shared" si="7"/>
        <v>9.5</v>
      </c>
      <c r="AT14" s="694">
        <f t="shared" si="129"/>
        <v>55407922.690746933</v>
      </c>
      <c r="AU14" s="694">
        <f t="shared" si="115"/>
        <v>146215.35154502664</v>
      </c>
      <c r="AV14" s="695">
        <f t="shared" si="8"/>
        <v>150994.62746670848</v>
      </c>
      <c r="AW14" s="696">
        <f t="shared" si="9"/>
        <v>21.592508896755888</v>
      </c>
      <c r="AX14" s="646">
        <f t="shared" si="125"/>
        <v>3260352.8369372436</v>
      </c>
      <c r="AY14" s="544">
        <f t="shared" si="79"/>
        <v>7.7491898272770435E-2</v>
      </c>
      <c r="AZ14" s="548">
        <f t="shared" si="10"/>
        <v>5.8842720000000002</v>
      </c>
      <c r="BK14" s="543">
        <f t="shared" si="116"/>
        <v>11</v>
      </c>
      <c r="BL14" s="658">
        <f t="shared" si="11"/>
        <v>11</v>
      </c>
      <c r="BM14" s="655" t="s">
        <v>400</v>
      </c>
      <c r="BN14" s="657">
        <f t="shared" si="80"/>
        <v>7.7491898272770435E-2</v>
      </c>
      <c r="BO14" s="646">
        <f t="shared" si="81"/>
        <v>742892.5798971887</v>
      </c>
      <c r="BP14" s="657">
        <f t="shared" si="82"/>
        <v>2.5247962765156198E-2</v>
      </c>
      <c r="BQ14" s="646">
        <f t="shared" si="83"/>
        <v>242044.97003973671</v>
      </c>
      <c r="BR14" s="708">
        <f t="shared" si="12"/>
        <v>984937.54993692541</v>
      </c>
      <c r="BS14" s="709">
        <f t="shared" si="13"/>
        <v>1.7776110000000001</v>
      </c>
      <c r="BV14" s="15"/>
      <c r="BW14" s="190"/>
      <c r="BX14" s="190"/>
      <c r="BY14" s="190"/>
      <c r="BZ14" s="190"/>
      <c r="CA14" s="190"/>
      <c r="CB14" s="190"/>
      <c r="CC14" s="190"/>
      <c r="CD14" s="190"/>
      <c r="CH14" s="543">
        <f t="shared" si="117"/>
        <v>11</v>
      </c>
      <c r="CI14" s="678">
        <f t="shared" si="15"/>
        <v>11</v>
      </c>
      <c r="CJ14" s="655" t="s">
        <v>400</v>
      </c>
      <c r="CK14" s="657">
        <f t="shared" si="16"/>
        <v>2.5247962765156198E-2</v>
      </c>
      <c r="CL14" s="646">
        <f t="shared" si="17"/>
        <v>147996.9623778268</v>
      </c>
      <c r="CM14" s="657">
        <f t="shared" si="18"/>
        <v>0.12689785609044593</v>
      </c>
      <c r="CN14" s="646">
        <f t="shared" si="19"/>
        <v>2437958.8133674501</v>
      </c>
      <c r="CO14" s="646">
        <f t="shared" si="20"/>
        <v>2585955.7757452768</v>
      </c>
      <c r="CP14" s="657">
        <f t="shared" si="21"/>
        <v>0.10313412262351172</v>
      </c>
      <c r="CQ14" s="709">
        <f t="shared" si="22"/>
        <v>4.6671230000000001</v>
      </c>
      <c r="DD14" s="15"/>
      <c r="DG14" s="545">
        <f t="shared" si="118"/>
        <v>11</v>
      </c>
      <c r="DH14" s="739">
        <f t="shared" si="24"/>
        <v>11</v>
      </c>
      <c r="DI14" s="655" t="s">
        <v>400</v>
      </c>
      <c r="DJ14" s="657">
        <f t="shared" si="25"/>
        <v>0.10313412262351172</v>
      </c>
      <c r="DK14" s="646">
        <f t="shared" si="84"/>
        <v>38850.080947443763</v>
      </c>
      <c r="DL14" s="657">
        <f t="shared" si="26"/>
        <v>0.12689785609044593</v>
      </c>
      <c r="DM14" s="646">
        <f t="shared" si="27"/>
        <v>310663.14755492605</v>
      </c>
      <c r="DN14" s="657">
        <f t="shared" si="28"/>
        <v>2.5247962765156198E-2</v>
      </c>
      <c r="DO14" s="646">
        <f t="shared" si="29"/>
        <v>89601.586473040967</v>
      </c>
      <c r="DP14" s="646">
        <f t="shared" si="85"/>
        <v>439114.81497541082</v>
      </c>
      <c r="DQ14" s="657">
        <f t="shared" si="30"/>
        <v>6.8894866499077057E-2</v>
      </c>
      <c r="DR14" s="709">
        <f t="shared" si="31"/>
        <v>0.79251300000000002</v>
      </c>
      <c r="DV14" s="545">
        <f t="shared" si="119"/>
        <v>11</v>
      </c>
      <c r="DW14" s="739">
        <f t="shared" si="32"/>
        <v>11</v>
      </c>
      <c r="DX14" s="655" t="s">
        <v>400</v>
      </c>
      <c r="DY14" s="657">
        <f t="shared" si="33"/>
        <v>0.12689785609044593</v>
      </c>
      <c r="DZ14" s="646">
        <f t="shared" si="34"/>
        <v>511691.23774860642</v>
      </c>
      <c r="EA14" s="709">
        <f t="shared" si="35"/>
        <v>0.92349800000000004</v>
      </c>
      <c r="EM14" s="545">
        <f t="shared" si="120"/>
        <v>11</v>
      </c>
      <c r="EN14" s="739">
        <f t="shared" si="36"/>
        <v>11</v>
      </c>
      <c r="EO14" s="655" t="s">
        <v>400</v>
      </c>
      <c r="EP14" s="657">
        <f t="shared" si="37"/>
        <v>8.0454096990378574E-2</v>
      </c>
      <c r="EQ14" s="646">
        <f t="shared" si="38"/>
        <v>632494.30322024506</v>
      </c>
      <c r="ER14" s="657">
        <f t="shared" si="39"/>
        <v>0.10313412262351172</v>
      </c>
      <c r="ES14" s="646">
        <f t="shared" si="40"/>
        <v>104659.99789114417</v>
      </c>
      <c r="ET14" s="657">
        <f t="shared" si="41"/>
        <v>2.5247962765156198E-2</v>
      </c>
      <c r="EU14" s="646">
        <f t="shared" si="42"/>
        <v>108461.33736093035</v>
      </c>
      <c r="EV14" s="646">
        <f t="shared" si="43"/>
        <v>845615.63847231958</v>
      </c>
      <c r="EW14" s="657">
        <f t="shared" si="44"/>
        <v>6.4197017426681394E-2</v>
      </c>
      <c r="EX14" s="709">
        <f t="shared" si="45"/>
        <v>1.5261640000000001</v>
      </c>
      <c r="FH14" s="545">
        <f t="shared" si="121"/>
        <v>11</v>
      </c>
      <c r="FI14" s="669">
        <f t="shared" si="46"/>
        <v>11</v>
      </c>
      <c r="FJ14" s="655" t="s">
        <v>400</v>
      </c>
      <c r="FK14" s="657">
        <f t="shared" si="47"/>
        <v>8.0454096990378574E-2</v>
      </c>
      <c r="FL14" s="646">
        <f t="shared" si="48"/>
        <v>1586694.7272171015</v>
      </c>
      <c r="FM14" s="709">
        <f t="shared" si="49"/>
        <v>2.8636599999999999</v>
      </c>
      <c r="FQ14" s="543">
        <v>11</v>
      </c>
      <c r="FR14" s="669">
        <v>11</v>
      </c>
      <c r="FS14" s="655" t="s">
        <v>400</v>
      </c>
      <c r="FT14" s="646">
        <f t="shared" si="50"/>
        <v>3260352.8369372436</v>
      </c>
      <c r="FU14" s="646">
        <f t="shared" si="51"/>
        <v>984937.54993692541</v>
      </c>
      <c r="FV14" s="646">
        <f t="shared" si="52"/>
        <v>2585955.7757452768</v>
      </c>
      <c r="FW14" s="646">
        <f t="shared" si="87"/>
        <v>439114.81497541082</v>
      </c>
      <c r="FX14" s="646">
        <f t="shared" si="53"/>
        <v>511691.23774860642</v>
      </c>
      <c r="FY14" s="646">
        <f t="shared" si="54"/>
        <v>845615.63847231958</v>
      </c>
      <c r="FZ14" s="646">
        <f t="shared" si="55"/>
        <v>1586694.7272171015</v>
      </c>
      <c r="GA14" s="646">
        <f t="shared" si="56"/>
        <v>10214362.581032883</v>
      </c>
      <c r="GB14" s="746">
        <f t="shared" si="57"/>
        <v>18.434840999999999</v>
      </c>
      <c r="GF14" s="545">
        <f t="shared" si="88"/>
        <v>11</v>
      </c>
      <c r="GG14" s="669">
        <f t="shared" si="58"/>
        <v>11</v>
      </c>
      <c r="GH14" s="655" t="s">
        <v>400</v>
      </c>
      <c r="GI14" s="709">
        <f t="shared" si="59"/>
        <v>5.8842720000000002</v>
      </c>
      <c r="GJ14" s="709">
        <f t="shared" si="60"/>
        <v>1.7776110000000001</v>
      </c>
      <c r="GK14" s="709">
        <f t="shared" si="61"/>
        <v>4.6671230000000001</v>
      </c>
      <c r="GL14" s="709">
        <f t="shared" si="62"/>
        <v>0.79251300000000002</v>
      </c>
      <c r="GM14" s="709">
        <f t="shared" si="63"/>
        <v>0.92349800000000004</v>
      </c>
      <c r="GN14" s="709">
        <f t="shared" si="64"/>
        <v>1.5261640000000001</v>
      </c>
      <c r="GO14" s="709">
        <f t="shared" si="65"/>
        <v>2.8636599999999999</v>
      </c>
      <c r="GP14" s="709">
        <f t="shared" si="66"/>
        <v>18.434840999999999</v>
      </c>
      <c r="GQ14" s="656">
        <f t="shared" si="130"/>
        <v>55407922.690746933</v>
      </c>
      <c r="GR14" s="530"/>
      <c r="GU14" s="543">
        <f t="shared" si="90"/>
        <v>11</v>
      </c>
      <c r="GV14" s="669">
        <f t="shared" si="67"/>
        <v>11</v>
      </c>
      <c r="GW14" s="655" t="s">
        <v>400</v>
      </c>
      <c r="GX14" s="658" t="s">
        <v>379</v>
      </c>
      <c r="GY14" s="646">
        <f t="shared" si="68"/>
        <v>10214362.581032883</v>
      </c>
      <c r="GZ14" s="656">
        <f t="shared" si="69"/>
        <v>55407922.690746933</v>
      </c>
      <c r="HA14" s="709">
        <f t="shared" si="91"/>
        <v>18.434840999999999</v>
      </c>
      <c r="HB14" s="646">
        <f t="shared" si="70"/>
        <v>10214362.449442118</v>
      </c>
      <c r="HC14" s="749">
        <f t="shared" si="71"/>
        <v>-0.13159076496958733</v>
      </c>
      <c r="HD14" s="549"/>
      <c r="HG14" s="549"/>
      <c r="HH14" s="549"/>
      <c r="HI14" s="549"/>
      <c r="HJ14" s="549"/>
      <c r="HK14" s="549"/>
      <c r="HL14" s="549"/>
      <c r="HM14" s="549"/>
      <c r="HP14" s="545">
        <f t="shared" si="122"/>
        <v>11</v>
      </c>
      <c r="HQ14" s="761">
        <f t="shared" si="72"/>
        <v>11</v>
      </c>
      <c r="HR14" s="655" t="s">
        <v>400</v>
      </c>
      <c r="HS14" s="656">
        <f t="shared" si="131"/>
        <v>55407922.690746933</v>
      </c>
      <c r="HT14" s="756">
        <f t="shared" si="93"/>
        <v>18.434840999999999</v>
      </c>
      <c r="HU14" s="756">
        <v>16.373829000000001</v>
      </c>
      <c r="HV14" s="647">
        <f t="shared" si="94"/>
        <v>0.12587232955712424</v>
      </c>
      <c r="HW14" s="756">
        <f t="shared" si="95"/>
        <v>2.0610119999999981</v>
      </c>
      <c r="HX14" s="648">
        <v>25</v>
      </c>
      <c r="IO14" s="545">
        <v>11</v>
      </c>
      <c r="IP14" s="761">
        <v>11</v>
      </c>
      <c r="IQ14" s="655" t="s">
        <v>400</v>
      </c>
      <c r="IR14" s="769">
        <f t="shared" si="96"/>
        <v>10214362.581032883</v>
      </c>
      <c r="IS14" s="770">
        <f t="shared" si="96"/>
        <v>55407922.690746933</v>
      </c>
      <c r="IT14" s="771">
        <f t="shared" si="96"/>
        <v>18.434840999999999</v>
      </c>
      <c r="IU14" s="656">
        <f t="shared" si="97"/>
        <v>8109239.9223234747</v>
      </c>
      <c r="IV14" s="656">
        <f t="shared" si="98"/>
        <v>47298682.76842346</v>
      </c>
      <c r="IW14" s="769">
        <f t="shared" si="99"/>
        <v>121638.59883485212</v>
      </c>
      <c r="IX14" s="769">
        <f t="shared" si="100"/>
        <v>10092723.982198032</v>
      </c>
      <c r="IY14" s="550">
        <f t="shared" si="101"/>
        <v>18.21530837481389</v>
      </c>
      <c r="IZ14" s="550">
        <f t="shared" si="102"/>
        <v>19.71530837481389</v>
      </c>
      <c r="JA14" s="769">
        <f t="shared" si="103"/>
        <v>10214362.581032885</v>
      </c>
      <c r="JB14" s="746">
        <f t="shared" si="104"/>
        <v>0.21953262518610828</v>
      </c>
      <c r="JF14" s="545">
        <f t="shared" si="123"/>
        <v>11</v>
      </c>
      <c r="JG14" s="761">
        <f t="shared" si="73"/>
        <v>11</v>
      </c>
      <c r="JH14" s="655" t="s">
        <v>400</v>
      </c>
      <c r="JI14" s="656">
        <f t="shared" si="132"/>
        <v>55407922.690746933</v>
      </c>
      <c r="JJ14" s="756">
        <f t="shared" si="106"/>
        <v>18.21530837481389</v>
      </c>
      <c r="JK14" s="756">
        <v>16.151595464916259</v>
      </c>
      <c r="JL14" s="647">
        <f t="shared" si="126"/>
        <v>0.12777145851506333</v>
      </c>
      <c r="JM14" s="756">
        <f t="shared" si="108"/>
        <v>2.0637129098976317</v>
      </c>
      <c r="JN14" s="648">
        <v>25</v>
      </c>
      <c r="JS14" s="756">
        <v>18.261111175750457</v>
      </c>
      <c r="JT14" s="1005">
        <f t="shared" si="109"/>
        <v>-4.5802800936566967E-2</v>
      </c>
      <c r="JU14" s="1009">
        <v>55181479</v>
      </c>
      <c r="JV14" s="1009">
        <f t="shared" si="110"/>
        <v>-226443.69074693322</v>
      </c>
      <c r="JW14" s="978">
        <f t="shared" si="124"/>
        <v>-2.5082154363853851E-3</v>
      </c>
      <c r="JX14" s="997">
        <v>10076751.228613392</v>
      </c>
      <c r="JY14" s="997">
        <f t="shared" si="111"/>
        <v>10092723.982198032</v>
      </c>
      <c r="JZ14" s="516"/>
      <c r="KA14" s="516"/>
      <c r="KB14" s="516"/>
      <c r="KC14" s="516"/>
      <c r="KE14" s="516"/>
      <c r="KF14" s="516"/>
    </row>
    <row r="15" spans="1:292" ht="16.5" x14ac:dyDescent="0.3">
      <c r="I15" s="222">
        <f t="shared" si="112"/>
        <v>12</v>
      </c>
      <c r="J15" s="659">
        <f t="shared" si="1"/>
        <v>12</v>
      </c>
      <c r="K15" s="660" t="s">
        <v>401</v>
      </c>
      <c r="L15" s="991">
        <v>27239730.357974499</v>
      </c>
      <c r="M15" s="662">
        <f t="shared" si="127"/>
        <v>1.2412443282698419E-2</v>
      </c>
      <c r="N15" s="661">
        <v>1606</v>
      </c>
      <c r="O15" s="661">
        <f t="shared" si="128"/>
        <v>16961.226872960462</v>
      </c>
      <c r="P15" s="662">
        <f t="shared" si="3"/>
        <v>9.5171247985522487E-3</v>
      </c>
      <c r="Q15" s="663" t="s">
        <v>384</v>
      </c>
      <c r="U15" s="551">
        <f t="shared" si="113"/>
        <v>12</v>
      </c>
      <c r="V15" s="670">
        <f t="shared" si="4"/>
        <v>12</v>
      </c>
      <c r="W15" s="660" t="s">
        <v>401</v>
      </c>
      <c r="X15" s="671">
        <f t="shared" si="75"/>
        <v>1526208.6437831267</v>
      </c>
      <c r="Y15" s="662">
        <f t="shared" si="5"/>
        <v>1.5778580618154136E-2</v>
      </c>
      <c r="AC15" s="551">
        <f t="shared" si="114"/>
        <v>12</v>
      </c>
      <c r="AD15" s="681">
        <v>12</v>
      </c>
      <c r="AE15" s="682" t="s">
        <v>401</v>
      </c>
      <c r="AF15" s="683">
        <v>5.03</v>
      </c>
      <c r="AP15" s="551">
        <f t="shared" si="77"/>
        <v>12</v>
      </c>
      <c r="AQ15" s="697">
        <f t="shared" si="6"/>
        <v>12</v>
      </c>
      <c r="AR15" s="660" t="s">
        <v>401</v>
      </c>
      <c r="AS15" s="660">
        <f t="shared" si="7"/>
        <v>5.03</v>
      </c>
      <c r="AT15" s="698">
        <f t="shared" si="129"/>
        <v>27239730.357974499</v>
      </c>
      <c r="AU15" s="698">
        <f t="shared" si="115"/>
        <v>38059.956583503263</v>
      </c>
      <c r="AV15" s="699">
        <f t="shared" si="8"/>
        <v>39304.005393410742</v>
      </c>
      <c r="AW15" s="700">
        <f t="shared" si="9"/>
        <v>21.592508896755888</v>
      </c>
      <c r="AX15" s="671">
        <f t="shared" si="125"/>
        <v>848672.08613536286</v>
      </c>
      <c r="AY15" s="465">
        <f t="shared" si="79"/>
        <v>2.0171194424319073E-2</v>
      </c>
      <c r="AZ15" s="553">
        <f t="shared" si="10"/>
        <v>3.115567</v>
      </c>
      <c r="BK15" s="222">
        <f t="shared" si="116"/>
        <v>12</v>
      </c>
      <c r="BL15" s="663">
        <f t="shared" si="11"/>
        <v>12</v>
      </c>
      <c r="BM15" s="660" t="s">
        <v>401</v>
      </c>
      <c r="BN15" s="662">
        <f t="shared" si="80"/>
        <v>2.0171194424319073E-2</v>
      </c>
      <c r="BO15" s="671">
        <f t="shared" si="81"/>
        <v>193375.44955658561</v>
      </c>
      <c r="BP15" s="662">
        <f t="shared" si="82"/>
        <v>1.2412443282698419E-2</v>
      </c>
      <c r="BQ15" s="671">
        <f t="shared" si="83"/>
        <v>118994.5299914214</v>
      </c>
      <c r="BR15" s="710">
        <f t="shared" si="12"/>
        <v>312369.97954800702</v>
      </c>
      <c r="BS15" s="711">
        <f t="shared" si="13"/>
        <v>1.146744</v>
      </c>
      <c r="BV15" s="15"/>
      <c r="BW15" s="190"/>
      <c r="BX15" s="190"/>
      <c r="BY15" s="190"/>
      <c r="BZ15" s="190"/>
      <c r="CA15" s="190"/>
      <c r="CB15" s="190"/>
      <c r="CC15" s="190"/>
      <c r="CD15" s="190"/>
      <c r="CH15" s="222">
        <f t="shared" si="117"/>
        <v>12</v>
      </c>
      <c r="CI15" s="681">
        <f t="shared" si="15"/>
        <v>12</v>
      </c>
      <c r="CJ15" s="660" t="s">
        <v>401</v>
      </c>
      <c r="CK15" s="723">
        <f t="shared" si="16"/>
        <v>1.2412443282698419E-2</v>
      </c>
      <c r="CL15" s="650">
        <f t="shared" si="17"/>
        <v>72758.500106060412</v>
      </c>
      <c r="CM15" s="723">
        <f t="shared" si="18"/>
        <v>9.5171247985522487E-3</v>
      </c>
      <c r="CN15" s="650">
        <f t="shared" si="19"/>
        <v>182842.79179634829</v>
      </c>
      <c r="CO15" s="650">
        <f t="shared" si="20"/>
        <v>255601.2919024087</v>
      </c>
      <c r="CP15" s="723">
        <f t="shared" si="21"/>
        <v>1.0193992963469643E-2</v>
      </c>
      <c r="CQ15" s="724">
        <f t="shared" si="22"/>
        <v>0.93833999999999995</v>
      </c>
      <c r="DD15" s="15"/>
      <c r="DG15" s="551">
        <f t="shared" si="118"/>
        <v>12</v>
      </c>
      <c r="DH15" s="677">
        <f t="shared" si="24"/>
        <v>12</v>
      </c>
      <c r="DI15" s="660" t="s">
        <v>401</v>
      </c>
      <c r="DJ15" s="723">
        <f t="shared" si="25"/>
        <v>1.0193992963469643E-2</v>
      </c>
      <c r="DK15" s="650">
        <f t="shared" si="84"/>
        <v>3840.0234736488874</v>
      </c>
      <c r="DL15" s="723">
        <f t="shared" si="26"/>
        <v>9.5171247985522487E-3</v>
      </c>
      <c r="DM15" s="650">
        <f t="shared" si="27"/>
        <v>23299.211166215169</v>
      </c>
      <c r="DN15" s="723">
        <f t="shared" si="28"/>
        <v>1.2412443282698419E-2</v>
      </c>
      <c r="DO15" s="650">
        <f t="shared" si="29"/>
        <v>44050.073286359999</v>
      </c>
      <c r="DP15" s="650">
        <f t="shared" si="85"/>
        <v>71189.30792622405</v>
      </c>
      <c r="DQ15" s="723">
        <f t="shared" si="30"/>
        <v>1.1169237972564276E-2</v>
      </c>
      <c r="DR15" s="724">
        <f t="shared" si="31"/>
        <v>0.26134400000000002</v>
      </c>
      <c r="DV15" s="551">
        <f t="shared" si="119"/>
        <v>12</v>
      </c>
      <c r="DW15" s="677">
        <f t="shared" si="32"/>
        <v>12</v>
      </c>
      <c r="DX15" s="660" t="s">
        <v>401</v>
      </c>
      <c r="DY15" s="723">
        <f t="shared" si="33"/>
        <v>9.5171247985522487E-3</v>
      </c>
      <c r="DZ15" s="650">
        <f t="shared" si="34"/>
        <v>38375.978271123866</v>
      </c>
      <c r="EA15" s="724">
        <f t="shared" si="35"/>
        <v>0.14088200000000001</v>
      </c>
      <c r="EM15" s="551">
        <f t="shared" si="120"/>
        <v>12</v>
      </c>
      <c r="EN15" s="677">
        <f t="shared" si="36"/>
        <v>12</v>
      </c>
      <c r="EO15" s="660" t="s">
        <v>401</v>
      </c>
      <c r="EP15" s="723">
        <f t="shared" si="37"/>
        <v>1.5778580618154136E-2</v>
      </c>
      <c r="EQ15" s="650">
        <f t="shared" si="38"/>
        <v>124044.17832291806</v>
      </c>
      <c r="ER15" s="723">
        <f t="shared" si="39"/>
        <v>1.0193992963469643E-2</v>
      </c>
      <c r="ES15" s="650">
        <f t="shared" si="40"/>
        <v>10344.813674847193</v>
      </c>
      <c r="ET15" s="723">
        <f t="shared" si="41"/>
        <v>1.2412443282698419E-2</v>
      </c>
      <c r="EU15" s="650">
        <f t="shared" si="42"/>
        <v>53321.933768696217</v>
      </c>
      <c r="EV15" s="650">
        <f t="shared" si="43"/>
        <v>187710.92576646147</v>
      </c>
      <c r="EW15" s="723">
        <f t="shared" si="44"/>
        <v>1.4250542473857626E-2</v>
      </c>
      <c r="EX15" s="724">
        <f t="shared" si="45"/>
        <v>0.68910700000000003</v>
      </c>
      <c r="FH15" s="551">
        <f t="shared" si="121"/>
        <v>12</v>
      </c>
      <c r="FI15" s="670">
        <f t="shared" si="46"/>
        <v>12</v>
      </c>
      <c r="FJ15" s="660" t="s">
        <v>401</v>
      </c>
      <c r="FK15" s="723">
        <f t="shared" si="47"/>
        <v>1.5778580618154136E-2</v>
      </c>
      <c r="FL15" s="650">
        <f t="shared" si="48"/>
        <v>311181.05362352304</v>
      </c>
      <c r="FM15" s="724">
        <f t="shared" si="49"/>
        <v>1.142379</v>
      </c>
      <c r="FQ15" s="222">
        <v>12</v>
      </c>
      <c r="FR15" s="670">
        <v>12</v>
      </c>
      <c r="FS15" s="660" t="s">
        <v>401</v>
      </c>
      <c r="FT15" s="650">
        <f t="shared" si="50"/>
        <v>848672.08613536286</v>
      </c>
      <c r="FU15" s="650">
        <f t="shared" si="51"/>
        <v>312369.97954800702</v>
      </c>
      <c r="FV15" s="650">
        <f t="shared" si="52"/>
        <v>255601.2919024087</v>
      </c>
      <c r="FW15" s="650">
        <f t="shared" si="87"/>
        <v>71189.30792622405</v>
      </c>
      <c r="FX15" s="650">
        <f t="shared" si="53"/>
        <v>38375.978271123866</v>
      </c>
      <c r="FY15" s="650">
        <f t="shared" si="54"/>
        <v>187710.92576646147</v>
      </c>
      <c r="FZ15" s="650">
        <f t="shared" si="55"/>
        <v>311181.05362352304</v>
      </c>
      <c r="GA15" s="650">
        <f t="shared" si="56"/>
        <v>2025100.6231731114</v>
      </c>
      <c r="GB15" s="747">
        <f t="shared" si="57"/>
        <v>7.4343640000000004</v>
      </c>
      <c r="GF15" s="551">
        <f t="shared" si="88"/>
        <v>12</v>
      </c>
      <c r="GG15" s="670">
        <f t="shared" si="58"/>
        <v>12</v>
      </c>
      <c r="GH15" s="660" t="s">
        <v>401</v>
      </c>
      <c r="GI15" s="724">
        <f t="shared" si="59"/>
        <v>3.115567</v>
      </c>
      <c r="GJ15" s="724">
        <f t="shared" si="60"/>
        <v>1.146744</v>
      </c>
      <c r="GK15" s="724">
        <f t="shared" si="61"/>
        <v>0.93833999999999995</v>
      </c>
      <c r="GL15" s="724">
        <f t="shared" si="62"/>
        <v>0.26134400000000002</v>
      </c>
      <c r="GM15" s="724">
        <f t="shared" si="63"/>
        <v>0.14088200000000001</v>
      </c>
      <c r="GN15" s="724">
        <f t="shared" si="64"/>
        <v>0.68910700000000003</v>
      </c>
      <c r="GO15" s="724">
        <f t="shared" si="65"/>
        <v>1.142379</v>
      </c>
      <c r="GP15" s="724">
        <f t="shared" si="66"/>
        <v>7.4343640000000004</v>
      </c>
      <c r="GQ15" s="661">
        <f t="shared" si="130"/>
        <v>27239730.357974499</v>
      </c>
      <c r="GR15" s="530"/>
      <c r="GU15" s="222">
        <f t="shared" si="90"/>
        <v>12</v>
      </c>
      <c r="GV15" s="670">
        <f t="shared" si="67"/>
        <v>12</v>
      </c>
      <c r="GW15" s="660" t="s">
        <v>401</v>
      </c>
      <c r="GX15" s="663" t="s">
        <v>384</v>
      </c>
      <c r="GY15" s="671">
        <f t="shared" si="68"/>
        <v>2025100.6231731114</v>
      </c>
      <c r="GZ15" s="661">
        <f t="shared" si="69"/>
        <v>27239730.357974499</v>
      </c>
      <c r="HA15" s="724">
        <f t="shared" si="91"/>
        <v>7.4343640000000004</v>
      </c>
      <c r="HB15" s="650">
        <f t="shared" si="70"/>
        <v>2025100.7074303275</v>
      </c>
      <c r="HC15" s="750">
        <f t="shared" si="71"/>
        <v>8.4257216192781925E-2</v>
      </c>
      <c r="HD15" s="549"/>
      <c r="HG15" s="549"/>
      <c r="HH15" s="549"/>
      <c r="HI15" s="549"/>
      <c r="HJ15" s="549"/>
      <c r="HK15" s="549"/>
      <c r="HL15" s="549"/>
      <c r="HM15" s="549"/>
      <c r="HP15" s="551">
        <f t="shared" si="122"/>
        <v>12</v>
      </c>
      <c r="HQ15" s="762">
        <f t="shared" si="72"/>
        <v>12</v>
      </c>
      <c r="HR15" s="660" t="s">
        <v>401</v>
      </c>
      <c r="HS15" s="661">
        <f t="shared" si="131"/>
        <v>27239730.357974499</v>
      </c>
      <c r="HT15" s="757">
        <f t="shared" si="93"/>
        <v>7.4343640000000004</v>
      </c>
      <c r="HU15" s="757">
        <v>6.4709839999999996</v>
      </c>
      <c r="HV15" s="651">
        <f t="shared" si="94"/>
        <v>0.1488768941477836</v>
      </c>
      <c r="HW15" s="757">
        <f t="shared" si="95"/>
        <v>0.96338000000000079</v>
      </c>
      <c r="HX15" s="652">
        <v>10</v>
      </c>
      <c r="IO15" s="551">
        <v>12</v>
      </c>
      <c r="IP15" s="762">
        <v>12</v>
      </c>
      <c r="IQ15" s="660" t="s">
        <v>401</v>
      </c>
      <c r="IR15" s="772">
        <f t="shared" si="96"/>
        <v>2025100.6231731114</v>
      </c>
      <c r="IS15" s="773">
        <f t="shared" si="96"/>
        <v>27239730.357974499</v>
      </c>
      <c r="IT15" s="774">
        <f t="shared" si="96"/>
        <v>7.4343640000000004</v>
      </c>
      <c r="IU15" s="991">
        <v>0</v>
      </c>
      <c r="IV15" s="661">
        <f t="shared" si="98"/>
        <v>27239730.357974499</v>
      </c>
      <c r="IW15" s="772">
        <f t="shared" si="99"/>
        <v>0</v>
      </c>
      <c r="IX15" s="772">
        <f t="shared" si="100"/>
        <v>2025100.6231731114</v>
      </c>
      <c r="IY15" s="455">
        <f>IT15</f>
        <v>7.4343640000000004</v>
      </c>
      <c r="IZ15" s="555">
        <f>IY15</f>
        <v>7.4343640000000004</v>
      </c>
      <c r="JA15" s="772">
        <f t="shared" si="103"/>
        <v>2025100.7074303275</v>
      </c>
      <c r="JB15" s="778">
        <f t="shared" si="104"/>
        <v>0</v>
      </c>
      <c r="JF15" s="551">
        <f t="shared" si="123"/>
        <v>12</v>
      </c>
      <c r="JG15" s="762">
        <f t="shared" si="73"/>
        <v>12</v>
      </c>
      <c r="JH15" s="660" t="s">
        <v>401</v>
      </c>
      <c r="JI15" s="661">
        <f t="shared" si="132"/>
        <v>27239730.357974499</v>
      </c>
      <c r="JJ15" s="757">
        <f t="shared" si="106"/>
        <v>7.4343640000000004</v>
      </c>
      <c r="JK15" s="757">
        <v>6.4709839999999996</v>
      </c>
      <c r="JL15" s="651">
        <f t="shared" si="126"/>
        <v>0.1488768941477836</v>
      </c>
      <c r="JM15" s="757">
        <f t="shared" si="108"/>
        <v>0.96338000000000079</v>
      </c>
      <c r="JN15" s="652">
        <v>10</v>
      </c>
      <c r="JS15" s="757">
        <v>7.4486800000000004</v>
      </c>
      <c r="JT15" s="757">
        <f t="shared" si="109"/>
        <v>-1.4315999999999995E-2</v>
      </c>
      <c r="JU15" s="1010">
        <v>27254832</v>
      </c>
      <c r="JV15" s="1009">
        <f t="shared" si="110"/>
        <v>15101.642025500536</v>
      </c>
      <c r="JW15" s="978">
        <f t="shared" si="124"/>
        <v>-1.921951271903209E-3</v>
      </c>
      <c r="JX15" s="997">
        <v>2030125.2202176002</v>
      </c>
      <c r="JY15" s="997">
        <f t="shared" si="111"/>
        <v>2025100.7074303275</v>
      </c>
      <c r="JZ15" s="516"/>
      <c r="KA15" s="516"/>
      <c r="KB15" s="516"/>
      <c r="KC15" s="516"/>
      <c r="KE15" s="516"/>
      <c r="KF15" s="516"/>
    </row>
    <row r="16" spans="1:292" ht="16.5" x14ac:dyDescent="0.3">
      <c r="E16" s="411"/>
      <c r="I16" s="543">
        <f t="shared" si="112"/>
        <v>13</v>
      </c>
      <c r="J16" s="654">
        <f t="shared" si="1"/>
        <v>13</v>
      </c>
      <c r="K16" s="655" t="s">
        <v>402</v>
      </c>
      <c r="L16" s="991">
        <v>819.00827269050774</v>
      </c>
      <c r="M16" s="657">
        <f t="shared" si="127"/>
        <v>3.7320096782292988E-7</v>
      </c>
      <c r="N16" s="656">
        <v>18</v>
      </c>
      <c r="O16" s="656">
        <f t="shared" si="128"/>
        <v>45.5004595939171</v>
      </c>
      <c r="P16" s="657">
        <f t="shared" si="3"/>
        <v>2.5530791822443803E-5</v>
      </c>
      <c r="Q16" s="658" t="s">
        <v>379</v>
      </c>
      <c r="U16" s="545">
        <f>+U15+1</f>
        <v>13</v>
      </c>
      <c r="V16" s="669">
        <f t="shared" si="4"/>
        <v>13</v>
      </c>
      <c r="W16" s="655" t="s">
        <v>402</v>
      </c>
      <c r="X16" s="646">
        <f t="shared" si="75"/>
        <v>1136.6036052486681</v>
      </c>
      <c r="Y16" s="657">
        <f t="shared" si="5"/>
        <v>1.1750681461118208E-5</v>
      </c>
      <c r="AC16" s="545">
        <f t="shared" si="114"/>
        <v>13</v>
      </c>
      <c r="AD16" s="678">
        <v>13</v>
      </c>
      <c r="AE16" s="679" t="s">
        <v>402</v>
      </c>
      <c r="AF16" s="680">
        <v>74.84</v>
      </c>
      <c r="AP16" s="545">
        <f t="shared" si="77"/>
        <v>13</v>
      </c>
      <c r="AQ16" s="693">
        <f t="shared" si="6"/>
        <v>13</v>
      </c>
      <c r="AR16" s="655" t="s">
        <v>402</v>
      </c>
      <c r="AS16" s="655">
        <f t="shared" si="7"/>
        <v>74.84</v>
      </c>
      <c r="AT16" s="694">
        <f t="shared" si="129"/>
        <v>819.00827269050774</v>
      </c>
      <c r="AU16" s="694">
        <f t="shared" si="115"/>
        <v>17.026271980043777</v>
      </c>
      <c r="AV16" s="695">
        <f t="shared" si="8"/>
        <v>17.582802131292436</v>
      </c>
      <c r="AW16" s="696">
        <f t="shared" si="9"/>
        <v>21.592508896755888</v>
      </c>
      <c r="AX16" s="646">
        <f>AV16*AW16</f>
        <v>379.65681144983029</v>
      </c>
      <c r="AY16" s="544">
        <f t="shared" si="79"/>
        <v>9.0236635366962047E-6</v>
      </c>
      <c r="AZ16" s="548">
        <f t="shared" si="10"/>
        <v>46.355674999999998</v>
      </c>
      <c r="BK16" s="543">
        <f t="shared" si="116"/>
        <v>13</v>
      </c>
      <c r="BL16" s="658">
        <f t="shared" si="11"/>
        <v>13</v>
      </c>
      <c r="BM16" s="655" t="s">
        <v>402</v>
      </c>
      <c r="BN16" s="657">
        <f t="shared" si="80"/>
        <v>9.0236635366962047E-6</v>
      </c>
      <c r="BO16" s="646">
        <f t="shared" si="81"/>
        <v>86.507271525389754</v>
      </c>
      <c r="BP16" s="657">
        <f t="shared" si="82"/>
        <v>3.7320096782292988E-7</v>
      </c>
      <c r="BQ16" s="646">
        <f t="shared" si="83"/>
        <v>3.5777705280904857</v>
      </c>
      <c r="BR16" s="708">
        <f t="shared" si="12"/>
        <v>90.085042053480237</v>
      </c>
      <c r="BS16" s="709">
        <f t="shared" si="13"/>
        <v>10.999283999999999</v>
      </c>
      <c r="BV16" s="15"/>
      <c r="BW16" s="190"/>
      <c r="BX16" s="190"/>
      <c r="BY16" s="190"/>
      <c r="BZ16" s="190"/>
      <c r="CA16" s="190"/>
      <c r="CB16" s="190"/>
      <c r="CC16" s="190"/>
      <c r="CD16" s="190"/>
      <c r="CH16" s="543">
        <f t="shared" si="117"/>
        <v>13</v>
      </c>
      <c r="CI16" s="678">
        <f t="shared" si="15"/>
        <v>13</v>
      </c>
      <c r="CJ16" s="655" t="s">
        <v>402</v>
      </c>
      <c r="CK16" s="657">
        <f t="shared" si="16"/>
        <v>3.7320096782292988E-7</v>
      </c>
      <c r="CL16" s="646">
        <f t="shared" si="17"/>
        <v>2.1876065846581185</v>
      </c>
      <c r="CM16" s="657">
        <f t="shared" si="18"/>
        <v>2.5530791822443803E-5</v>
      </c>
      <c r="CN16" s="646">
        <f t="shared" si="19"/>
        <v>490.49700959024108</v>
      </c>
      <c r="CO16" s="646">
        <f t="shared" si="20"/>
        <v>492.68461617489919</v>
      </c>
      <c r="CP16" s="657">
        <f t="shared" si="21"/>
        <v>1.9649444934786474E-5</v>
      </c>
      <c r="CQ16" s="709">
        <f t="shared" si="22"/>
        <v>60.156244000000001</v>
      </c>
      <c r="DD16" s="15"/>
      <c r="DG16" s="545">
        <f t="shared" si="118"/>
        <v>13</v>
      </c>
      <c r="DH16" s="739">
        <f t="shared" si="24"/>
        <v>13</v>
      </c>
      <c r="DI16" s="655" t="s">
        <v>402</v>
      </c>
      <c r="DJ16" s="657">
        <f t="shared" si="25"/>
        <v>1.9649444934786474E-5</v>
      </c>
      <c r="DK16" s="646">
        <f t="shared" si="84"/>
        <v>7.4018424442849069</v>
      </c>
      <c r="DL16" s="657">
        <f t="shared" si="26"/>
        <v>2.5530791822443803E-5</v>
      </c>
      <c r="DM16" s="646">
        <f t="shared" si="27"/>
        <v>62.502838042250545</v>
      </c>
      <c r="DN16" s="657">
        <f t="shared" si="28"/>
        <v>3.7320096782292988E-7</v>
      </c>
      <c r="DO16" s="646">
        <f t="shared" si="29"/>
        <v>1.3244394845336727</v>
      </c>
      <c r="DP16" s="646">
        <f t="shared" si="85"/>
        <v>71.229119971069125</v>
      </c>
      <c r="DQ16" s="657">
        <f t="shared" si="30"/>
        <v>1.1175484278589751E-5</v>
      </c>
      <c r="DR16" s="709">
        <f t="shared" si="31"/>
        <v>8.6969960000000004</v>
      </c>
      <c r="DV16" s="545">
        <f t="shared" si="119"/>
        <v>13</v>
      </c>
      <c r="DW16" s="739">
        <f t="shared" si="32"/>
        <v>13</v>
      </c>
      <c r="DX16" s="655" t="s">
        <v>402</v>
      </c>
      <c r="DY16" s="657">
        <f t="shared" si="33"/>
        <v>2.5530791822443803E-5</v>
      </c>
      <c r="DZ16" s="646">
        <f t="shared" si="34"/>
        <v>102.94801559938915</v>
      </c>
      <c r="EA16" s="709">
        <f t="shared" si="35"/>
        <v>12.569838000000001</v>
      </c>
      <c r="EM16" s="545">
        <f>+EM15+1</f>
        <v>13</v>
      </c>
      <c r="EN16" s="739">
        <f t="shared" si="36"/>
        <v>13</v>
      </c>
      <c r="EO16" s="655" t="s">
        <v>402</v>
      </c>
      <c r="EP16" s="657">
        <f t="shared" si="37"/>
        <v>1.1750681461118208E-5</v>
      </c>
      <c r="EQ16" s="646">
        <f t="shared" si="38"/>
        <v>92.378627828012625</v>
      </c>
      <c r="ER16" s="657">
        <f t="shared" si="39"/>
        <v>1.9649444934786474E-5</v>
      </c>
      <c r="ES16" s="646">
        <f t="shared" si="40"/>
        <v>19.940159601145222</v>
      </c>
      <c r="ET16" s="657">
        <f t="shared" si="41"/>
        <v>3.7320096782292988E-7</v>
      </c>
      <c r="EU16" s="646">
        <f t="shared" si="42"/>
        <v>1.6032135523556208</v>
      </c>
      <c r="EV16" s="646">
        <f t="shared" si="43"/>
        <v>113.92200098151348</v>
      </c>
      <c r="EW16" s="657">
        <f t="shared" si="44"/>
        <v>8.6486724577433835E-6</v>
      </c>
      <c r="EX16" s="709">
        <f t="shared" si="45"/>
        <v>13.909750000000001</v>
      </c>
      <c r="FH16" s="545">
        <f>+FH15+1</f>
        <v>13</v>
      </c>
      <c r="FI16" s="669">
        <f t="shared" si="46"/>
        <v>13</v>
      </c>
      <c r="FJ16" s="655" t="s">
        <v>402</v>
      </c>
      <c r="FK16" s="657">
        <f t="shared" si="47"/>
        <v>1.1750681461118208E-5</v>
      </c>
      <c r="FL16" s="646">
        <f t="shared" si="48"/>
        <v>231.74387648392491</v>
      </c>
      <c r="FM16" s="709">
        <f t="shared" si="49"/>
        <v>28.295670000000001</v>
      </c>
      <c r="FQ16" s="543">
        <v>13</v>
      </c>
      <c r="FR16" s="669">
        <v>13</v>
      </c>
      <c r="FS16" s="655" t="s">
        <v>402</v>
      </c>
      <c r="FT16" s="646">
        <f t="shared" si="50"/>
        <v>379.65681144983029</v>
      </c>
      <c r="FU16" s="646">
        <f t="shared" si="51"/>
        <v>90.085042053480237</v>
      </c>
      <c r="FV16" s="646">
        <f t="shared" si="52"/>
        <v>492.68461617489919</v>
      </c>
      <c r="FW16" s="646">
        <f t="shared" si="87"/>
        <v>71.229119971069125</v>
      </c>
      <c r="FX16" s="646">
        <f t="shared" si="53"/>
        <v>102.94801559938915</v>
      </c>
      <c r="FY16" s="646">
        <f t="shared" si="54"/>
        <v>113.92200098151348</v>
      </c>
      <c r="FZ16" s="646">
        <f t="shared" si="55"/>
        <v>231.74387648392491</v>
      </c>
      <c r="GA16" s="646">
        <f t="shared" si="56"/>
        <v>1482.2694827141065</v>
      </c>
      <c r="GB16" s="746">
        <f t="shared" si="57"/>
        <v>180.98345699999999</v>
      </c>
      <c r="GF16" s="545">
        <f t="shared" si="88"/>
        <v>13</v>
      </c>
      <c r="GG16" s="669">
        <f t="shared" si="58"/>
        <v>13</v>
      </c>
      <c r="GH16" s="655" t="s">
        <v>402</v>
      </c>
      <c r="GI16" s="709">
        <f t="shared" si="59"/>
        <v>46.355674999999998</v>
      </c>
      <c r="GJ16" s="709">
        <f t="shared" si="60"/>
        <v>10.999283999999999</v>
      </c>
      <c r="GK16" s="709">
        <f t="shared" si="61"/>
        <v>60.156244000000001</v>
      </c>
      <c r="GL16" s="709">
        <f t="shared" si="62"/>
        <v>8.6969960000000004</v>
      </c>
      <c r="GM16" s="709">
        <f t="shared" si="63"/>
        <v>12.569838000000001</v>
      </c>
      <c r="GN16" s="709">
        <f t="shared" si="64"/>
        <v>13.909750000000001</v>
      </c>
      <c r="GO16" s="709">
        <f t="shared" si="65"/>
        <v>28.295670000000001</v>
      </c>
      <c r="GP16" s="709">
        <f t="shared" si="66"/>
        <v>180.98345699999999</v>
      </c>
      <c r="GQ16" s="656">
        <f t="shared" si="130"/>
        <v>819.00827269050774</v>
      </c>
      <c r="GR16" s="530"/>
      <c r="GU16" s="543">
        <f t="shared" si="90"/>
        <v>13</v>
      </c>
      <c r="GV16" s="669">
        <f t="shared" si="67"/>
        <v>13</v>
      </c>
      <c r="GW16" s="655" t="s">
        <v>402</v>
      </c>
      <c r="GX16" s="658" t="s">
        <v>379</v>
      </c>
      <c r="GY16" s="646">
        <f t="shared" si="68"/>
        <v>1482.2694827141065</v>
      </c>
      <c r="GZ16" s="656">
        <f t="shared" si="69"/>
        <v>819.00827269050774</v>
      </c>
      <c r="HA16" s="709">
        <f t="shared" si="91"/>
        <v>180.98345699999999</v>
      </c>
      <c r="HB16" s="646">
        <f t="shared" si="70"/>
        <v>1482.2694850312678</v>
      </c>
      <c r="HC16" s="749">
        <f t="shared" si="71"/>
        <v>2.3171612610894954E-6</v>
      </c>
      <c r="HD16" s="549"/>
      <c r="HG16" s="549"/>
      <c r="HH16" s="549"/>
      <c r="HI16" s="549"/>
      <c r="HJ16" s="549"/>
      <c r="HK16" s="549"/>
      <c r="HL16" s="549"/>
      <c r="HM16" s="549"/>
      <c r="HP16" s="545">
        <f t="shared" si="122"/>
        <v>13</v>
      </c>
      <c r="HQ16" s="761">
        <f t="shared" si="72"/>
        <v>13</v>
      </c>
      <c r="HR16" s="655" t="s">
        <v>402</v>
      </c>
      <c r="HS16" s="656">
        <f t="shared" si="131"/>
        <v>819.00827269050774</v>
      </c>
      <c r="HT16" s="756">
        <f t="shared" si="93"/>
        <v>180.98345699999999</v>
      </c>
      <c r="HU16" s="756">
        <v>110.337915</v>
      </c>
      <c r="HV16" s="647">
        <f t="shared" si="94"/>
        <v>0.64026533399693109</v>
      </c>
      <c r="HW16" s="756">
        <f t="shared" si="95"/>
        <v>70.645541999999992</v>
      </c>
      <c r="HX16" s="648">
        <v>10</v>
      </c>
      <c r="IO16" s="545">
        <v>13</v>
      </c>
      <c r="IP16" s="761">
        <v>13</v>
      </c>
      <c r="IQ16" s="655" t="s">
        <v>402</v>
      </c>
      <c r="IR16" s="769">
        <f t="shared" si="96"/>
        <v>1482.2694827141065</v>
      </c>
      <c r="IS16" s="770">
        <f t="shared" si="96"/>
        <v>819.00827269050774</v>
      </c>
      <c r="IT16" s="771">
        <f t="shared" si="96"/>
        <v>180.98345699999999</v>
      </c>
      <c r="IU16" s="656">
        <f t="shared" si="97"/>
        <v>119.86615377522871</v>
      </c>
      <c r="IV16" s="656">
        <f t="shared" si="98"/>
        <v>699.14211891527907</v>
      </c>
      <c r="IW16" s="769">
        <f t="shared" si="99"/>
        <v>1.7979923066284307</v>
      </c>
      <c r="IX16" s="769">
        <f t="shared" si="100"/>
        <v>1480.4714904074781</v>
      </c>
      <c r="IY16" s="550">
        <f t="shared" si="101"/>
        <v>180.76392385439658</v>
      </c>
      <c r="IZ16" s="550">
        <f t="shared" si="102"/>
        <v>182.26392385439658</v>
      </c>
      <c r="JA16" s="769">
        <f t="shared" si="103"/>
        <v>1482.2694827141065</v>
      </c>
      <c r="JB16" s="746">
        <f t="shared" si="104"/>
        <v>0.21953314560340687</v>
      </c>
      <c r="JF16" s="545">
        <f t="shared" si="123"/>
        <v>13</v>
      </c>
      <c r="JG16" s="761">
        <f t="shared" si="73"/>
        <v>13</v>
      </c>
      <c r="JH16" s="655" t="s">
        <v>402</v>
      </c>
      <c r="JI16" s="656">
        <f t="shared" si="132"/>
        <v>819.00827269050774</v>
      </c>
      <c r="JJ16" s="756">
        <f t="shared" si="106"/>
        <v>180.76392385439658</v>
      </c>
      <c r="JK16" s="756">
        <v>110.11568161602861</v>
      </c>
      <c r="JL16" s="647">
        <f t="shared" si="126"/>
        <v>0.64158202720587165</v>
      </c>
      <c r="JM16" s="756">
        <f t="shared" si="108"/>
        <v>70.64824223836797</v>
      </c>
      <c r="JN16" s="648">
        <v>10</v>
      </c>
      <c r="JS16" s="756">
        <v>181.29591129167954</v>
      </c>
      <c r="JT16" s="756">
        <f t="shared" si="109"/>
        <v>-0.53198743728296449</v>
      </c>
      <c r="JU16" s="1009">
        <v>849</v>
      </c>
      <c r="JV16" s="1009">
        <f t="shared" si="110"/>
        <v>29.991727309492262</v>
      </c>
      <c r="JW16" s="978">
        <f t="shared" si="124"/>
        <v>-2.9343598181156539E-3</v>
      </c>
      <c r="JX16" s="997">
        <v>1539.2022868663594</v>
      </c>
      <c r="JY16" s="997">
        <f t="shared" si="111"/>
        <v>1480.4714904074781</v>
      </c>
      <c r="JZ16" s="516"/>
      <c r="KA16" s="516"/>
      <c r="KB16" s="516"/>
      <c r="KC16" s="516"/>
      <c r="KE16" s="516"/>
      <c r="KF16" s="516"/>
    </row>
    <row r="17" spans="2:292" ht="16.5" x14ac:dyDescent="0.3">
      <c r="I17" s="222">
        <f>+I16+1</f>
        <v>14</v>
      </c>
      <c r="J17" s="659">
        <f t="shared" si="1"/>
        <v>14</v>
      </c>
      <c r="K17" s="660" t="s">
        <v>403</v>
      </c>
      <c r="L17" s="991">
        <v>3808086</v>
      </c>
      <c r="M17" s="662">
        <f t="shared" si="127"/>
        <v>1.7352466734972716E-3</v>
      </c>
      <c r="N17" s="661">
        <v>1177</v>
      </c>
      <c r="O17" s="661">
        <f t="shared" si="128"/>
        <v>3235.4171622769754</v>
      </c>
      <c r="P17" s="662">
        <f t="shared" si="3"/>
        <v>1.8154269817507161E-3</v>
      </c>
      <c r="Q17" s="663" t="s">
        <v>384</v>
      </c>
      <c r="U17" s="551">
        <f t="shared" si="113"/>
        <v>14</v>
      </c>
      <c r="V17" s="670">
        <f t="shared" si="4"/>
        <v>14</v>
      </c>
      <c r="W17" s="660" t="s">
        <v>403</v>
      </c>
      <c r="X17" s="671">
        <f t="shared" si="75"/>
        <v>235229.4395016795</v>
      </c>
      <c r="Y17" s="662">
        <f t="shared" si="5"/>
        <v>2.4318999175239079E-3</v>
      </c>
      <c r="AC17" s="551">
        <f>+AC16+1</f>
        <v>14</v>
      </c>
      <c r="AD17" s="681">
        <v>14</v>
      </c>
      <c r="AE17" s="682" t="s">
        <v>403</v>
      </c>
      <c r="AF17" s="683">
        <v>5.35</v>
      </c>
      <c r="AP17" s="551">
        <f t="shared" si="77"/>
        <v>14</v>
      </c>
      <c r="AQ17" s="697">
        <f t="shared" si="6"/>
        <v>14</v>
      </c>
      <c r="AR17" s="660" t="s">
        <v>403</v>
      </c>
      <c r="AS17" s="660">
        <f t="shared" si="7"/>
        <v>5.35</v>
      </c>
      <c r="AT17" s="698">
        <f t="shared" si="129"/>
        <v>3808086</v>
      </c>
      <c r="AU17" s="698">
        <f t="shared" si="115"/>
        <v>5659.2389166666662</v>
      </c>
      <c r="AV17" s="699">
        <f t="shared" si="8"/>
        <v>5844.2199327068374</v>
      </c>
      <c r="AW17" s="700">
        <f t="shared" si="9"/>
        <v>21.592508896755888</v>
      </c>
      <c r="AX17" s="671">
        <f t="shared" si="125"/>
        <v>126191.37089157048</v>
      </c>
      <c r="AY17" s="465">
        <f t="shared" si="79"/>
        <v>2.9993100026613007E-3</v>
      </c>
      <c r="AZ17" s="553">
        <f t="shared" si="10"/>
        <v>3.313774</v>
      </c>
      <c r="BK17" s="222">
        <f t="shared" si="116"/>
        <v>14</v>
      </c>
      <c r="BL17" s="663">
        <f t="shared" si="11"/>
        <v>14</v>
      </c>
      <c r="BM17" s="660" t="s">
        <v>403</v>
      </c>
      <c r="BN17" s="662">
        <f t="shared" si="80"/>
        <v>2.9993100026613007E-3</v>
      </c>
      <c r="BO17" s="671">
        <f t="shared" si="81"/>
        <v>28753.523858008823</v>
      </c>
      <c r="BP17" s="662">
        <f t="shared" si="82"/>
        <v>1.7352466734972716E-3</v>
      </c>
      <c r="BQ17" s="671">
        <f t="shared" si="83"/>
        <v>16635.31164890014</v>
      </c>
      <c r="BR17" s="710">
        <f t="shared" si="12"/>
        <v>45388.835506908959</v>
      </c>
      <c r="BS17" s="711">
        <f t="shared" si="13"/>
        <v>1.191907</v>
      </c>
      <c r="BV17" s="15"/>
      <c r="BW17" s="190"/>
      <c r="BX17" s="190"/>
      <c r="BY17" s="190"/>
      <c r="BZ17" s="190"/>
      <c r="CA17" s="190"/>
      <c r="CB17" s="190"/>
      <c r="CC17" s="190"/>
      <c r="CD17" s="190"/>
      <c r="CH17" s="222">
        <f t="shared" si="117"/>
        <v>14</v>
      </c>
      <c r="CI17" s="681">
        <f t="shared" si="15"/>
        <v>14</v>
      </c>
      <c r="CJ17" s="660" t="s">
        <v>403</v>
      </c>
      <c r="CK17" s="723">
        <f t="shared" si="16"/>
        <v>1.7352466734972716E-3</v>
      </c>
      <c r="CL17" s="650">
        <f t="shared" si="17"/>
        <v>10171.562713497055</v>
      </c>
      <c r="CM17" s="723">
        <f t="shared" si="18"/>
        <v>1.8154269817507161E-3</v>
      </c>
      <c r="CN17" s="650">
        <f t="shared" si="19"/>
        <v>34877.943146885467</v>
      </c>
      <c r="CO17" s="650">
        <f t="shared" si="20"/>
        <v>45049.505860382524</v>
      </c>
      <c r="CP17" s="723">
        <f t="shared" si="21"/>
        <v>1.7966824124029249E-3</v>
      </c>
      <c r="CQ17" s="724">
        <f t="shared" si="22"/>
        <v>1.1829959999999999</v>
      </c>
      <c r="DD17" s="15"/>
      <c r="DG17" s="551">
        <f t="shared" si="118"/>
        <v>14</v>
      </c>
      <c r="DH17" s="677">
        <f t="shared" si="24"/>
        <v>14</v>
      </c>
      <c r="DI17" s="660" t="s">
        <v>403</v>
      </c>
      <c r="DJ17" s="723">
        <f t="shared" si="25"/>
        <v>1.7966824124029249E-3</v>
      </c>
      <c r="DK17" s="650">
        <f t="shared" si="84"/>
        <v>676.80080445838223</v>
      </c>
      <c r="DL17" s="723">
        <f t="shared" si="26"/>
        <v>1.8154269817507161E-3</v>
      </c>
      <c r="DM17" s="650">
        <f t="shared" si="27"/>
        <v>4444.4112586491447</v>
      </c>
      <c r="DN17" s="723">
        <f t="shared" si="28"/>
        <v>1.7352466734972716E-3</v>
      </c>
      <c r="DO17" s="650">
        <f t="shared" si="29"/>
        <v>6158.1544742293427</v>
      </c>
      <c r="DP17" s="650">
        <f t="shared" si="85"/>
        <v>11279.366537336869</v>
      </c>
      <c r="DQ17" s="723">
        <f t="shared" si="30"/>
        <v>1.769674866987796E-3</v>
      </c>
      <c r="DR17" s="724">
        <f t="shared" si="31"/>
        <v>0.29619499999999999</v>
      </c>
      <c r="DV17" s="551">
        <f t="shared" si="119"/>
        <v>14</v>
      </c>
      <c r="DW17" s="677">
        <f t="shared" si="32"/>
        <v>14</v>
      </c>
      <c r="DX17" s="660" t="s">
        <v>403</v>
      </c>
      <c r="DY17" s="723">
        <f t="shared" si="33"/>
        <v>1.8154269817507161E-3</v>
      </c>
      <c r="DZ17" s="650">
        <f t="shared" si="34"/>
        <v>7320.3607054806644</v>
      </c>
      <c r="EA17" s="724">
        <f t="shared" si="35"/>
        <v>0.19223199999999999</v>
      </c>
      <c r="EM17" s="551">
        <f t="shared" si="120"/>
        <v>14</v>
      </c>
      <c r="EN17" s="677">
        <f t="shared" si="36"/>
        <v>14</v>
      </c>
      <c r="EO17" s="660" t="s">
        <v>403</v>
      </c>
      <c r="EP17" s="723">
        <f t="shared" si="37"/>
        <v>2.4318999175239079E-3</v>
      </c>
      <c r="EQ17" s="650">
        <f t="shared" si="38"/>
        <v>19118.514797569638</v>
      </c>
      <c r="ER17" s="723">
        <f t="shared" si="39"/>
        <v>1.7966824124029249E-3</v>
      </c>
      <c r="ES17" s="650">
        <f t="shared" si="40"/>
        <v>1823.2644318852999</v>
      </c>
      <c r="ET17" s="723">
        <f t="shared" si="41"/>
        <v>1.7352466734972716E-3</v>
      </c>
      <c r="EU17" s="650">
        <f t="shared" si="42"/>
        <v>7454.3509355280603</v>
      </c>
      <c r="EV17" s="650">
        <f t="shared" si="43"/>
        <v>28396.130164982998</v>
      </c>
      <c r="EW17" s="723">
        <f t="shared" si="44"/>
        <v>2.1557629496363664E-3</v>
      </c>
      <c r="EX17" s="724">
        <f t="shared" si="45"/>
        <v>0.74568000000000001</v>
      </c>
      <c r="FH17" s="551">
        <f t="shared" si="121"/>
        <v>14</v>
      </c>
      <c r="FI17" s="670">
        <f t="shared" si="46"/>
        <v>14</v>
      </c>
      <c r="FJ17" s="660" t="s">
        <v>403</v>
      </c>
      <c r="FK17" s="723">
        <f t="shared" si="47"/>
        <v>2.4318999175239079E-3</v>
      </c>
      <c r="FL17" s="650">
        <f t="shared" si="48"/>
        <v>47961.296199947959</v>
      </c>
      <c r="FM17" s="724">
        <f t="shared" si="49"/>
        <v>1.2594590000000001</v>
      </c>
      <c r="FQ17" s="222">
        <v>14</v>
      </c>
      <c r="FR17" s="670">
        <v>14</v>
      </c>
      <c r="FS17" s="660" t="s">
        <v>403</v>
      </c>
      <c r="FT17" s="650">
        <f t="shared" si="50"/>
        <v>126191.37089157048</v>
      </c>
      <c r="FU17" s="650">
        <f t="shared" si="51"/>
        <v>45388.835506908959</v>
      </c>
      <c r="FV17" s="650">
        <f t="shared" si="52"/>
        <v>45049.505860382524</v>
      </c>
      <c r="FW17" s="650">
        <f t="shared" si="87"/>
        <v>11279.366537336869</v>
      </c>
      <c r="FX17" s="650">
        <f t="shared" si="53"/>
        <v>7320.3607054806644</v>
      </c>
      <c r="FY17" s="650">
        <f t="shared" si="54"/>
        <v>28396.130164982998</v>
      </c>
      <c r="FZ17" s="650">
        <f t="shared" si="55"/>
        <v>47961.296199947959</v>
      </c>
      <c r="GA17" s="650">
        <f t="shared" si="56"/>
        <v>311586.86586661043</v>
      </c>
      <c r="GB17" s="747">
        <f t="shared" si="57"/>
        <v>8.1822429999999997</v>
      </c>
      <c r="GF17" s="551">
        <f t="shared" si="88"/>
        <v>14</v>
      </c>
      <c r="GG17" s="670">
        <f t="shared" si="58"/>
        <v>14</v>
      </c>
      <c r="GH17" s="660" t="s">
        <v>403</v>
      </c>
      <c r="GI17" s="724">
        <f t="shared" si="59"/>
        <v>3.313774</v>
      </c>
      <c r="GJ17" s="724">
        <f t="shared" si="60"/>
        <v>1.191907</v>
      </c>
      <c r="GK17" s="724">
        <f t="shared" si="61"/>
        <v>1.1829959999999999</v>
      </c>
      <c r="GL17" s="724">
        <f t="shared" si="62"/>
        <v>0.29619499999999999</v>
      </c>
      <c r="GM17" s="724">
        <f t="shared" si="63"/>
        <v>0.19223199999999999</v>
      </c>
      <c r="GN17" s="724">
        <f t="shared" si="64"/>
        <v>0.74568000000000001</v>
      </c>
      <c r="GO17" s="724">
        <f t="shared" si="65"/>
        <v>1.2594590000000001</v>
      </c>
      <c r="GP17" s="724">
        <f t="shared" si="66"/>
        <v>8.1822429999999997</v>
      </c>
      <c r="GQ17" s="661">
        <f t="shared" si="130"/>
        <v>3808086</v>
      </c>
      <c r="GR17" s="530"/>
      <c r="GU17" s="222">
        <f t="shared" si="90"/>
        <v>14</v>
      </c>
      <c r="GV17" s="670">
        <f t="shared" si="67"/>
        <v>14</v>
      </c>
      <c r="GW17" s="660" t="s">
        <v>403</v>
      </c>
      <c r="GX17" s="663" t="s">
        <v>384</v>
      </c>
      <c r="GY17" s="671">
        <f t="shared" si="68"/>
        <v>311586.86586661043</v>
      </c>
      <c r="GZ17" s="661">
        <f t="shared" si="69"/>
        <v>3808086</v>
      </c>
      <c r="HA17" s="724">
        <f t="shared" si="91"/>
        <v>8.1822429999999997</v>
      </c>
      <c r="HB17" s="650">
        <f t="shared" si="70"/>
        <v>311586.85016897996</v>
      </c>
      <c r="HC17" s="750">
        <f t="shared" si="71"/>
        <v>-1.5697630471549928E-2</v>
      </c>
      <c r="HD17" s="549"/>
      <c r="HG17" s="549"/>
      <c r="HH17" s="549"/>
      <c r="HI17" s="549"/>
      <c r="HJ17" s="549"/>
      <c r="HK17" s="549"/>
      <c r="HL17" s="549"/>
      <c r="HM17" s="549"/>
      <c r="HP17" s="551">
        <f>+HP16+1</f>
        <v>14</v>
      </c>
      <c r="HQ17" s="762">
        <f t="shared" si="72"/>
        <v>14</v>
      </c>
      <c r="HR17" s="660" t="s">
        <v>403</v>
      </c>
      <c r="HS17" s="661">
        <f t="shared" si="131"/>
        <v>3808086</v>
      </c>
      <c r="HT17" s="757">
        <f t="shared" si="93"/>
        <v>8.1822429999999997</v>
      </c>
      <c r="HU17" s="757">
        <v>7.1058779999999997</v>
      </c>
      <c r="HV17" s="651">
        <f t="shared" si="94"/>
        <v>0.15147529974480278</v>
      </c>
      <c r="HW17" s="757">
        <f t="shared" si="95"/>
        <v>1.076365</v>
      </c>
      <c r="HX17" s="652">
        <v>10</v>
      </c>
      <c r="IO17" s="551">
        <v>14</v>
      </c>
      <c r="IP17" s="762">
        <v>14</v>
      </c>
      <c r="IQ17" s="660" t="s">
        <v>403</v>
      </c>
      <c r="IR17" s="772">
        <f t="shared" si="96"/>
        <v>311586.86586661043</v>
      </c>
      <c r="IS17" s="773">
        <f t="shared" si="96"/>
        <v>3808086</v>
      </c>
      <c r="IT17" s="774">
        <f t="shared" si="96"/>
        <v>8.1822429999999997</v>
      </c>
      <c r="IU17" s="991">
        <v>0</v>
      </c>
      <c r="IV17" s="661">
        <f t="shared" si="98"/>
        <v>3808086</v>
      </c>
      <c r="IW17" s="772">
        <f t="shared" si="99"/>
        <v>0</v>
      </c>
      <c r="IX17" s="772">
        <f t="shared" si="100"/>
        <v>311586.86586661043</v>
      </c>
      <c r="IY17" s="455">
        <f>IT17</f>
        <v>8.1822429999999997</v>
      </c>
      <c r="IZ17" s="555">
        <f t="shared" ref="IZ17" si="133">IY17</f>
        <v>8.1822429999999997</v>
      </c>
      <c r="JA17" s="772">
        <f t="shared" si="103"/>
        <v>311586.85016897996</v>
      </c>
      <c r="JB17" s="778">
        <f t="shared" si="104"/>
        <v>0</v>
      </c>
      <c r="JF17" s="551">
        <f>+JF16+1</f>
        <v>14</v>
      </c>
      <c r="JG17" s="762">
        <f t="shared" si="73"/>
        <v>14</v>
      </c>
      <c r="JH17" s="660" t="s">
        <v>403</v>
      </c>
      <c r="JI17" s="661">
        <f t="shared" si="132"/>
        <v>3808086</v>
      </c>
      <c r="JJ17" s="757">
        <f t="shared" si="106"/>
        <v>8.1822429999999997</v>
      </c>
      <c r="JK17" s="757">
        <v>7.1058779999999997</v>
      </c>
      <c r="JL17" s="651">
        <f t="shared" si="126"/>
        <v>0.15147529974480278</v>
      </c>
      <c r="JM17" s="757">
        <f t="shared" si="108"/>
        <v>1.076365</v>
      </c>
      <c r="JN17" s="652">
        <v>10</v>
      </c>
      <c r="JS17" s="757">
        <v>8.1987249999999996</v>
      </c>
      <c r="JT17" s="757">
        <f t="shared" si="109"/>
        <v>-1.6481999999999886E-2</v>
      </c>
      <c r="JU17" s="1010">
        <v>3903996</v>
      </c>
      <c r="JV17" s="1009">
        <f t="shared" si="110"/>
        <v>95910</v>
      </c>
      <c r="JW17" s="978">
        <f t="shared" si="124"/>
        <v>-2.0103125790900274E-3</v>
      </c>
      <c r="JX17" s="997">
        <v>320077.89605099999</v>
      </c>
      <c r="JY17" s="997">
        <f t="shared" si="111"/>
        <v>311586.85016897996</v>
      </c>
      <c r="JZ17" s="516"/>
      <c r="KA17" s="516"/>
      <c r="KB17" s="516"/>
      <c r="KC17" s="516"/>
      <c r="KE17" s="516"/>
      <c r="KF17" s="516"/>
    </row>
    <row r="18" spans="2:292" ht="16.5" x14ac:dyDescent="0.3">
      <c r="I18" s="543">
        <f t="shared" si="112"/>
        <v>15</v>
      </c>
      <c r="J18" s="654">
        <f t="shared" si="1"/>
        <v>15</v>
      </c>
      <c r="K18" s="655" t="s">
        <v>404</v>
      </c>
      <c r="L18" s="991">
        <v>99209995.529677704</v>
      </c>
      <c r="M18" s="657">
        <f t="shared" si="2"/>
        <v>4.5207438781727199E-2</v>
      </c>
      <c r="N18" s="656">
        <v>1642</v>
      </c>
      <c r="O18" s="656">
        <f t="shared" si="74"/>
        <v>60420.216522337214</v>
      </c>
      <c r="P18" s="657">
        <f t="shared" si="3"/>
        <v>3.3902426121976928E-2</v>
      </c>
      <c r="Q18" s="658" t="s">
        <v>379</v>
      </c>
      <c r="U18" s="545">
        <f t="shared" si="113"/>
        <v>15</v>
      </c>
      <c r="V18" s="669">
        <f t="shared" si="4"/>
        <v>15</v>
      </c>
      <c r="W18" s="655" t="s">
        <v>404</v>
      </c>
      <c r="X18" s="646">
        <f t="shared" si="75"/>
        <v>4603261.9537613858</v>
      </c>
      <c r="Y18" s="657">
        <f t="shared" si="5"/>
        <v>4.7590439314945221E-2</v>
      </c>
      <c r="AC18" s="545">
        <f t="shared" si="114"/>
        <v>15</v>
      </c>
      <c r="AD18" s="678">
        <v>15</v>
      </c>
      <c r="AE18" s="679" t="s">
        <v>404</v>
      </c>
      <c r="AF18" s="680">
        <v>3.79</v>
      </c>
      <c r="AP18" s="545">
        <f t="shared" si="77"/>
        <v>15</v>
      </c>
      <c r="AQ18" s="693">
        <f t="shared" si="6"/>
        <v>15</v>
      </c>
      <c r="AR18" s="655" t="s">
        <v>404</v>
      </c>
      <c r="AS18" s="655">
        <f t="shared" si="7"/>
        <v>3.79</v>
      </c>
      <c r="AT18" s="694">
        <f t="shared" si="78"/>
        <v>99209995.529677704</v>
      </c>
      <c r="AU18" s="694">
        <f t="shared" si="115"/>
        <v>104446.07862707735</v>
      </c>
      <c r="AV18" s="695">
        <f t="shared" si="8"/>
        <v>107860.06097176131</v>
      </c>
      <c r="AW18" s="696">
        <f t="shared" si="9"/>
        <v>21.592508896755888</v>
      </c>
      <c r="AX18" s="646">
        <f>AV18*AW18</f>
        <v>2328969.3261373886</v>
      </c>
      <c r="AY18" s="544">
        <f t="shared" si="79"/>
        <v>5.5354822967866125E-2</v>
      </c>
      <c r="AZ18" s="548">
        <f t="shared" si="10"/>
        <v>2.347515</v>
      </c>
      <c r="BK18" s="543">
        <f t="shared" si="116"/>
        <v>15</v>
      </c>
      <c r="BL18" s="658">
        <f t="shared" si="11"/>
        <v>15</v>
      </c>
      <c r="BM18" s="655" t="s">
        <v>404</v>
      </c>
      <c r="BN18" s="657">
        <f t="shared" si="80"/>
        <v>5.5354822967866125E-2</v>
      </c>
      <c r="BO18" s="646">
        <f t="shared" si="81"/>
        <v>530670.79476616916</v>
      </c>
      <c r="BP18" s="657">
        <f t="shared" si="82"/>
        <v>4.5207438781727199E-2</v>
      </c>
      <c r="BQ18" s="646">
        <f t="shared" si="83"/>
        <v>433390.73600810964</v>
      </c>
      <c r="BR18" s="708">
        <f t="shared" si="12"/>
        <v>964061.5307742788</v>
      </c>
      <c r="BS18" s="709">
        <f t="shared" si="13"/>
        <v>0.97173799999999999</v>
      </c>
      <c r="BV18" s="15"/>
      <c r="BW18" s="190"/>
      <c r="BX18" s="190"/>
      <c r="BY18" s="190"/>
      <c r="BZ18" s="190"/>
      <c r="CA18" s="190"/>
      <c r="CB18" s="190"/>
      <c r="CC18" s="190"/>
      <c r="CD18" s="190"/>
      <c r="CH18" s="543">
        <f t="shared" si="117"/>
        <v>15</v>
      </c>
      <c r="CI18" s="678">
        <f t="shared" si="15"/>
        <v>15</v>
      </c>
      <c r="CJ18" s="655" t="s">
        <v>404</v>
      </c>
      <c r="CK18" s="657">
        <f t="shared" si="16"/>
        <v>4.5207438781727199E-2</v>
      </c>
      <c r="CL18" s="646">
        <f t="shared" si="17"/>
        <v>264994.1969104372</v>
      </c>
      <c r="CM18" s="657">
        <f t="shared" si="18"/>
        <v>3.3902426121976928E-2</v>
      </c>
      <c r="CN18" s="646">
        <f t="shared" si="19"/>
        <v>651332.66317519289</v>
      </c>
      <c r="CO18" s="646">
        <f t="shared" si="20"/>
        <v>916326.86008563009</v>
      </c>
      <c r="CP18" s="657">
        <f t="shared" si="21"/>
        <v>3.6545314362173294E-2</v>
      </c>
      <c r="CQ18" s="709">
        <f t="shared" si="22"/>
        <v>0.923624</v>
      </c>
      <c r="DD18" s="15"/>
      <c r="DG18" s="545">
        <f t="shared" si="118"/>
        <v>15</v>
      </c>
      <c r="DH18" s="739">
        <f t="shared" si="24"/>
        <v>15</v>
      </c>
      <c r="DI18" s="655" t="s">
        <v>404</v>
      </c>
      <c r="DJ18" s="657">
        <f t="shared" si="25"/>
        <v>3.6545314362173294E-2</v>
      </c>
      <c r="DK18" s="646">
        <f t="shared" si="84"/>
        <v>13766.427493673555</v>
      </c>
      <c r="DL18" s="657">
        <f t="shared" si="26"/>
        <v>3.3902426121976928E-2</v>
      </c>
      <c r="DM18" s="646">
        <f t="shared" si="27"/>
        <v>82997.733242198286</v>
      </c>
      <c r="DN18" s="657">
        <f t="shared" si="28"/>
        <v>4.5207438781727199E-2</v>
      </c>
      <c r="DO18" s="646">
        <f t="shared" si="29"/>
        <v>160435.05263782325</v>
      </c>
      <c r="DP18" s="646">
        <f t="shared" si="85"/>
        <v>257199.21337369509</v>
      </c>
      <c r="DQ18" s="657">
        <f t="shared" si="30"/>
        <v>4.0353239892488284E-2</v>
      </c>
      <c r="DR18" s="709">
        <f t="shared" si="31"/>
        <v>0.25924700000000001</v>
      </c>
      <c r="DV18" s="545">
        <f t="shared" si="119"/>
        <v>15</v>
      </c>
      <c r="DW18" s="739">
        <f t="shared" si="32"/>
        <v>15</v>
      </c>
      <c r="DX18" s="655" t="s">
        <v>404</v>
      </c>
      <c r="DY18" s="657">
        <f t="shared" si="33"/>
        <v>3.3902426121976928E-2</v>
      </c>
      <c r="DZ18" s="646">
        <f t="shared" si="34"/>
        <v>136705.02339039239</v>
      </c>
      <c r="EA18" s="709">
        <f t="shared" si="35"/>
        <v>0.137794</v>
      </c>
      <c r="EM18" s="545">
        <f t="shared" si="120"/>
        <v>15</v>
      </c>
      <c r="EN18" s="739">
        <f t="shared" si="36"/>
        <v>15</v>
      </c>
      <c r="EO18" s="655" t="s">
        <v>404</v>
      </c>
      <c r="EP18" s="657">
        <f t="shared" si="37"/>
        <v>4.7590439314945221E-2</v>
      </c>
      <c r="EQ18" s="646">
        <f t="shared" si="38"/>
        <v>374134.85304609593</v>
      </c>
      <c r="ER18" s="657">
        <f t="shared" si="39"/>
        <v>3.6545314362173294E-2</v>
      </c>
      <c r="ES18" s="646">
        <f t="shared" si="40"/>
        <v>37086.004387109628</v>
      </c>
      <c r="ET18" s="657">
        <f t="shared" si="41"/>
        <v>4.5207438781727199E-2</v>
      </c>
      <c r="EU18" s="646">
        <f t="shared" si="42"/>
        <v>194204.15478809763</v>
      </c>
      <c r="EV18" s="646">
        <f t="shared" si="43"/>
        <v>605425.01222130319</v>
      </c>
      <c r="EW18" s="657">
        <f t="shared" si="44"/>
        <v>4.5962347775799862E-2</v>
      </c>
      <c r="EX18" s="709">
        <f t="shared" si="45"/>
        <v>0.61024599999999996</v>
      </c>
      <c r="FH18" s="545">
        <f t="shared" si="121"/>
        <v>15</v>
      </c>
      <c r="FI18" s="669">
        <f t="shared" si="46"/>
        <v>15</v>
      </c>
      <c r="FJ18" s="655" t="s">
        <v>404</v>
      </c>
      <c r="FK18" s="657">
        <f t="shared" si="47"/>
        <v>4.7590439314945221E-2</v>
      </c>
      <c r="FL18" s="646">
        <f t="shared" si="48"/>
        <v>938566.2377889764</v>
      </c>
      <c r="FM18" s="709">
        <f t="shared" si="49"/>
        <v>0.94603999999999999</v>
      </c>
      <c r="FQ18" s="543">
        <v>15</v>
      </c>
      <c r="FR18" s="669">
        <v>15</v>
      </c>
      <c r="FS18" s="655" t="s">
        <v>404</v>
      </c>
      <c r="FT18" s="646">
        <f t="shared" si="50"/>
        <v>2328969.3261373886</v>
      </c>
      <c r="FU18" s="646">
        <f t="shared" si="51"/>
        <v>964061.5307742788</v>
      </c>
      <c r="FV18" s="646">
        <f t="shared" si="52"/>
        <v>916326.86008563009</v>
      </c>
      <c r="FW18" s="646">
        <f t="shared" si="87"/>
        <v>257199.21337369509</v>
      </c>
      <c r="FX18" s="646">
        <f t="shared" si="53"/>
        <v>136705.02339039239</v>
      </c>
      <c r="FY18" s="646">
        <f t="shared" si="54"/>
        <v>605425.01222130319</v>
      </c>
      <c r="FZ18" s="646">
        <f t="shared" si="55"/>
        <v>938566.2377889764</v>
      </c>
      <c r="GA18" s="646">
        <f t="shared" si="56"/>
        <v>6147253.2037716648</v>
      </c>
      <c r="GB18" s="746">
        <f t="shared" si="57"/>
        <v>6.1962029999999997</v>
      </c>
      <c r="GF18" s="545">
        <f t="shared" si="88"/>
        <v>15</v>
      </c>
      <c r="GG18" s="669">
        <f t="shared" si="58"/>
        <v>15</v>
      </c>
      <c r="GH18" s="655" t="s">
        <v>404</v>
      </c>
      <c r="GI18" s="709">
        <f t="shared" si="59"/>
        <v>2.347515</v>
      </c>
      <c r="GJ18" s="709">
        <f t="shared" si="60"/>
        <v>0.97173799999999999</v>
      </c>
      <c r="GK18" s="709">
        <f t="shared" si="61"/>
        <v>0.923624</v>
      </c>
      <c r="GL18" s="709">
        <f t="shared" si="62"/>
        <v>0.25924700000000001</v>
      </c>
      <c r="GM18" s="709">
        <f t="shared" si="63"/>
        <v>0.137794</v>
      </c>
      <c r="GN18" s="709">
        <f t="shared" si="64"/>
        <v>0.61024599999999996</v>
      </c>
      <c r="GO18" s="709">
        <f t="shared" si="65"/>
        <v>0.94603999999999999</v>
      </c>
      <c r="GP18" s="709">
        <f t="shared" si="66"/>
        <v>6.1962029999999997</v>
      </c>
      <c r="GQ18" s="656">
        <f t="shared" si="89"/>
        <v>99209995.529677704</v>
      </c>
      <c r="GR18" s="530"/>
      <c r="GU18" s="543">
        <f t="shared" si="90"/>
        <v>15</v>
      </c>
      <c r="GV18" s="669">
        <f t="shared" si="67"/>
        <v>15</v>
      </c>
      <c r="GW18" s="655" t="s">
        <v>404</v>
      </c>
      <c r="GX18" s="658" t="s">
        <v>379</v>
      </c>
      <c r="GY18" s="646">
        <f t="shared" si="68"/>
        <v>6147253.2037716648</v>
      </c>
      <c r="GZ18" s="656">
        <f t="shared" si="69"/>
        <v>99209995.529677704</v>
      </c>
      <c r="HA18" s="709">
        <f t="shared" si="91"/>
        <v>6.1962029999999997</v>
      </c>
      <c r="HB18" s="646">
        <f t="shared" si="70"/>
        <v>6147252.7193097556</v>
      </c>
      <c r="HC18" s="749">
        <f t="shared" si="71"/>
        <v>-0.48446190916001797</v>
      </c>
      <c r="HD18" s="549"/>
      <c r="HG18" s="549"/>
      <c r="HH18" s="549"/>
      <c r="HI18" s="549"/>
      <c r="HJ18" s="549"/>
      <c r="HK18" s="549"/>
      <c r="HL18" s="549"/>
      <c r="HM18" s="549"/>
      <c r="HP18" s="545">
        <f t="shared" si="122"/>
        <v>15</v>
      </c>
      <c r="HQ18" s="761">
        <f t="shared" si="72"/>
        <v>15</v>
      </c>
      <c r="HR18" s="655" t="s">
        <v>404</v>
      </c>
      <c r="HS18" s="656">
        <f t="shared" si="92"/>
        <v>99209995.529677704</v>
      </c>
      <c r="HT18" s="756">
        <f t="shared" si="93"/>
        <v>6.1962029999999997</v>
      </c>
      <c r="HU18" s="756">
        <v>5.4117150000000001</v>
      </c>
      <c r="HV18" s="647">
        <f t="shared" si="94"/>
        <v>0.14496107056635466</v>
      </c>
      <c r="HW18" s="756">
        <f t="shared" si="95"/>
        <v>0.78448799999999963</v>
      </c>
      <c r="HX18" s="648">
        <v>10</v>
      </c>
      <c r="IO18" s="545">
        <v>15</v>
      </c>
      <c r="IP18" s="761">
        <v>15</v>
      </c>
      <c r="IQ18" s="655" t="s">
        <v>404</v>
      </c>
      <c r="IR18" s="769">
        <f t="shared" si="96"/>
        <v>6147253.2037716648</v>
      </c>
      <c r="IS18" s="770">
        <f t="shared" si="96"/>
        <v>99209995.529677704</v>
      </c>
      <c r="IT18" s="771">
        <f t="shared" si="96"/>
        <v>6.1962029999999997</v>
      </c>
      <c r="IU18" s="656">
        <f t="shared" si="97"/>
        <v>14519902.883439979</v>
      </c>
      <c r="IV18" s="656">
        <f t="shared" si="98"/>
        <v>84690092.646237731</v>
      </c>
      <c r="IW18" s="769">
        <f t="shared" si="99"/>
        <v>217798.54325159968</v>
      </c>
      <c r="IX18" s="769">
        <f>IR18-IW18</f>
        <v>5929454.6605200646</v>
      </c>
      <c r="IY18" s="550">
        <f t="shared" si="101"/>
        <v>5.9766706256390529</v>
      </c>
      <c r="IZ18" s="550">
        <f>IY18+1.5</f>
        <v>7.4766706256390529</v>
      </c>
      <c r="JA18" s="769">
        <f>(IY18*IV18+IZ18*IU18)/100</f>
        <v>6147253.2037716648</v>
      </c>
      <c r="JB18" s="746">
        <f>IT18-IY18</f>
        <v>0.21953237436094675</v>
      </c>
      <c r="JF18" s="545">
        <f t="shared" si="123"/>
        <v>15</v>
      </c>
      <c r="JG18" s="761">
        <f t="shared" si="73"/>
        <v>15</v>
      </c>
      <c r="JH18" s="655" t="s">
        <v>404</v>
      </c>
      <c r="JI18" s="656">
        <f t="shared" si="105"/>
        <v>99209995.529677704</v>
      </c>
      <c r="JJ18" s="756">
        <f t="shared" si="106"/>
        <v>5.9766706256390529</v>
      </c>
      <c r="JK18" s="756">
        <v>5.1894820836816677</v>
      </c>
      <c r="JL18" s="647">
        <f t="shared" si="126"/>
        <v>0.15168923011271218</v>
      </c>
      <c r="JM18" s="756">
        <f t="shared" si="108"/>
        <v>0.78718854195738519</v>
      </c>
      <c r="JN18" s="648">
        <v>10</v>
      </c>
      <c r="JS18" s="756">
        <v>5.9887880357863379</v>
      </c>
      <c r="JT18" s="756">
        <f t="shared" si="109"/>
        <v>-1.2117410147284957E-2</v>
      </c>
      <c r="JU18" s="1009">
        <v>98512295</v>
      </c>
      <c r="JV18" s="1009">
        <f t="shared" si="110"/>
        <v>-697700.52967770398</v>
      </c>
      <c r="JW18" s="978">
        <f t="shared" si="124"/>
        <v>-2.023349311225693E-3</v>
      </c>
      <c r="JX18" s="997">
        <v>5899692.5367385419</v>
      </c>
      <c r="JY18" s="997">
        <f t="shared" si="111"/>
        <v>5929454.6605200646</v>
      </c>
      <c r="JZ18" s="516"/>
      <c r="KA18" s="516"/>
      <c r="KB18" s="516"/>
      <c r="KC18" s="516"/>
      <c r="KE18" s="516"/>
      <c r="KF18" s="516"/>
    </row>
    <row r="19" spans="2:292" ht="16.5" x14ac:dyDescent="0.3">
      <c r="B19" s="18"/>
      <c r="I19" s="222">
        <f t="shared" si="112"/>
        <v>16</v>
      </c>
      <c r="J19" s="659">
        <f t="shared" si="1"/>
        <v>16</v>
      </c>
      <c r="K19" s="660" t="s">
        <v>405</v>
      </c>
      <c r="L19" s="991">
        <v>10423148.555883937</v>
      </c>
      <c r="M19" s="662">
        <f t="shared" si="2"/>
        <v>4.7495602407523069E-3</v>
      </c>
      <c r="N19" s="661">
        <v>284</v>
      </c>
      <c r="O19" s="661">
        <f t="shared" si="74"/>
        <v>36701.227309450478</v>
      </c>
      <c r="P19" s="662">
        <f t="shared" si="3"/>
        <v>2.0593448998722581E-2</v>
      </c>
      <c r="Q19" s="663" t="s">
        <v>379</v>
      </c>
      <c r="U19" s="551">
        <f t="shared" si="113"/>
        <v>16</v>
      </c>
      <c r="V19" s="670">
        <f t="shared" si="4"/>
        <v>16</v>
      </c>
      <c r="W19" s="660" t="s">
        <v>405</v>
      </c>
      <c r="X19" s="671">
        <f t="shared" si="75"/>
        <v>1381141.5845887666</v>
      </c>
      <c r="Y19" s="662">
        <f t="shared" si="5"/>
        <v>1.4278816940454766E-2</v>
      </c>
      <c r="AC19" s="551">
        <f t="shared" si="114"/>
        <v>16</v>
      </c>
      <c r="AD19" s="681">
        <v>16</v>
      </c>
      <c r="AE19" s="682" t="s">
        <v>405</v>
      </c>
      <c r="AF19" s="683">
        <v>9.5299999999999994</v>
      </c>
      <c r="AP19" s="551">
        <f t="shared" si="77"/>
        <v>16</v>
      </c>
      <c r="AQ19" s="697">
        <f t="shared" si="6"/>
        <v>16</v>
      </c>
      <c r="AR19" s="660" t="s">
        <v>405</v>
      </c>
      <c r="AS19" s="660">
        <f t="shared" si="7"/>
        <v>9.5299999999999994</v>
      </c>
      <c r="AT19" s="698">
        <f t="shared" si="78"/>
        <v>10423148.555883937</v>
      </c>
      <c r="AU19" s="698">
        <f t="shared" si="115"/>
        <v>27592.390482659419</v>
      </c>
      <c r="AV19" s="699">
        <f t="shared" si="8"/>
        <v>28494.290632417687</v>
      </c>
      <c r="AW19" s="700">
        <f t="shared" si="9"/>
        <v>21.592508896755888</v>
      </c>
      <c r="AX19" s="671">
        <f t="shared" si="125"/>
        <v>615263.22398722684</v>
      </c>
      <c r="AY19" s="465">
        <f t="shared" si="79"/>
        <v>1.4623544612730721E-2</v>
      </c>
      <c r="AZ19" s="553">
        <f t="shared" si="10"/>
        <v>5.9028539999999996</v>
      </c>
      <c r="BK19" s="222">
        <f t="shared" si="116"/>
        <v>16</v>
      </c>
      <c r="BL19" s="663">
        <f t="shared" si="11"/>
        <v>16</v>
      </c>
      <c r="BM19" s="660" t="s">
        <v>405</v>
      </c>
      <c r="BN19" s="662">
        <f t="shared" si="80"/>
        <v>1.4623544612730721E-2</v>
      </c>
      <c r="BO19" s="671">
        <f t="shared" si="81"/>
        <v>140191.72360900237</v>
      </c>
      <c r="BP19" s="662">
        <f t="shared" si="82"/>
        <v>4.7495602407523069E-3</v>
      </c>
      <c r="BQ19" s="671">
        <f t="shared" si="83"/>
        <v>45532.670372967601</v>
      </c>
      <c r="BR19" s="710">
        <f t="shared" si="12"/>
        <v>185724.39398196997</v>
      </c>
      <c r="BS19" s="711">
        <f t="shared" si="13"/>
        <v>1.7818449999999999</v>
      </c>
      <c r="BV19" s="15"/>
      <c r="BW19" s="190"/>
      <c r="BX19" s="190"/>
      <c r="BY19" s="190"/>
      <c r="BZ19" s="190"/>
      <c r="CA19" s="190"/>
      <c r="CB19" s="190"/>
      <c r="CC19" s="190"/>
      <c r="CD19" s="190"/>
      <c r="CH19" s="222">
        <f t="shared" si="117"/>
        <v>16</v>
      </c>
      <c r="CI19" s="681">
        <f t="shared" si="15"/>
        <v>16</v>
      </c>
      <c r="CJ19" s="660" t="s">
        <v>405</v>
      </c>
      <c r="CK19" s="723">
        <f t="shared" si="16"/>
        <v>4.7495602407523069E-3</v>
      </c>
      <c r="CL19" s="650">
        <f t="shared" si="17"/>
        <v>27840.68143636192</v>
      </c>
      <c r="CM19" s="723">
        <f t="shared" si="18"/>
        <v>2.0593448998722581E-2</v>
      </c>
      <c r="CN19" s="650">
        <f t="shared" si="19"/>
        <v>395640.88811937609</v>
      </c>
      <c r="CO19" s="650">
        <f t="shared" si="20"/>
        <v>423481.56955573801</v>
      </c>
      <c r="CP19" s="723">
        <f t="shared" si="21"/>
        <v>1.6889461348491688E-2</v>
      </c>
      <c r="CQ19" s="724">
        <f t="shared" si="22"/>
        <v>4.0628950000000001</v>
      </c>
      <c r="DD19" s="15"/>
      <c r="DG19" s="551">
        <f t="shared" si="118"/>
        <v>16</v>
      </c>
      <c r="DH19" s="677">
        <f t="shared" si="24"/>
        <v>16</v>
      </c>
      <c r="DI19" s="660" t="s">
        <v>405</v>
      </c>
      <c r="DJ19" s="723">
        <f t="shared" si="25"/>
        <v>1.6889461348491688E-2</v>
      </c>
      <c r="DK19" s="650">
        <f t="shared" si="84"/>
        <v>6362.171159810101</v>
      </c>
      <c r="DL19" s="723">
        <f t="shared" si="26"/>
        <v>2.0593448998722581E-2</v>
      </c>
      <c r="DM19" s="650">
        <f t="shared" si="27"/>
        <v>50415.553753682929</v>
      </c>
      <c r="DN19" s="723">
        <f t="shared" si="28"/>
        <v>4.7495602407523069E-3</v>
      </c>
      <c r="DO19" s="650">
        <f t="shared" si="29"/>
        <v>16855.543418655398</v>
      </c>
      <c r="DP19" s="650">
        <f t="shared" si="85"/>
        <v>73633.268332148436</v>
      </c>
      <c r="DQ19" s="723">
        <f t="shared" si="30"/>
        <v>1.1552682848831134E-2</v>
      </c>
      <c r="DR19" s="724">
        <f t="shared" si="31"/>
        <v>0.70643999999999996</v>
      </c>
      <c r="DV19" s="551">
        <f t="shared" si="119"/>
        <v>16</v>
      </c>
      <c r="DW19" s="677">
        <f t="shared" si="32"/>
        <v>16</v>
      </c>
      <c r="DX19" s="660" t="s">
        <v>405</v>
      </c>
      <c r="DY19" s="723">
        <f t="shared" si="33"/>
        <v>2.0593448998722581E-2</v>
      </c>
      <c r="DZ19" s="650">
        <f t="shared" si="34"/>
        <v>83039.12873168326</v>
      </c>
      <c r="EA19" s="724">
        <f t="shared" si="35"/>
        <v>0.79668000000000005</v>
      </c>
      <c r="EM19" s="551">
        <f t="shared" si="120"/>
        <v>16</v>
      </c>
      <c r="EN19" s="677">
        <f t="shared" si="36"/>
        <v>16</v>
      </c>
      <c r="EO19" s="660" t="s">
        <v>405</v>
      </c>
      <c r="EP19" s="723">
        <f t="shared" si="37"/>
        <v>1.4278816940454766E-2</v>
      </c>
      <c r="EQ19" s="650">
        <f t="shared" si="38"/>
        <v>112253.70378145453</v>
      </c>
      <c r="ER19" s="723">
        <f t="shared" si="39"/>
        <v>1.6889461348491688E-2</v>
      </c>
      <c r="ES19" s="650">
        <f t="shared" si="40"/>
        <v>17139.341899173975</v>
      </c>
      <c r="ET19" s="723">
        <f t="shared" si="41"/>
        <v>4.7495602407523069E-3</v>
      </c>
      <c r="EU19" s="650">
        <f t="shared" si="42"/>
        <v>20403.375130892884</v>
      </c>
      <c r="EV19" s="650">
        <f t="shared" si="43"/>
        <v>149796.42081152138</v>
      </c>
      <c r="EW19" s="723">
        <f t="shared" si="44"/>
        <v>1.1372168393981901E-2</v>
      </c>
      <c r="EX19" s="724">
        <f t="shared" si="45"/>
        <v>1.4371510000000001</v>
      </c>
      <c r="FH19" s="551">
        <f t="shared" si="121"/>
        <v>16</v>
      </c>
      <c r="FI19" s="670">
        <f t="shared" si="46"/>
        <v>16</v>
      </c>
      <c r="FJ19" s="660" t="s">
        <v>405</v>
      </c>
      <c r="FK19" s="723">
        <f t="shared" si="47"/>
        <v>1.4278816940454766E-2</v>
      </c>
      <c r="FL19" s="650">
        <f t="shared" si="48"/>
        <v>281603.10534623521</v>
      </c>
      <c r="FM19" s="724">
        <f t="shared" si="49"/>
        <v>2.7017090000000001</v>
      </c>
      <c r="FQ19" s="222">
        <v>16</v>
      </c>
      <c r="FR19" s="670">
        <v>16</v>
      </c>
      <c r="FS19" s="660" t="s">
        <v>405</v>
      </c>
      <c r="FT19" s="650">
        <f t="shared" si="50"/>
        <v>615263.22398722684</v>
      </c>
      <c r="FU19" s="650">
        <f t="shared" si="51"/>
        <v>185724.39398196997</v>
      </c>
      <c r="FV19" s="650">
        <f t="shared" si="52"/>
        <v>423481.56955573801</v>
      </c>
      <c r="FW19" s="650">
        <f t="shared" si="87"/>
        <v>73633.268332148436</v>
      </c>
      <c r="FX19" s="650">
        <f t="shared" si="53"/>
        <v>83039.12873168326</v>
      </c>
      <c r="FY19" s="650">
        <f t="shared" si="54"/>
        <v>149796.42081152138</v>
      </c>
      <c r="FZ19" s="650">
        <f t="shared" si="55"/>
        <v>281603.10534623521</v>
      </c>
      <c r="GA19" s="650">
        <f t="shared" si="56"/>
        <v>1812541.1107465231</v>
      </c>
      <c r="GB19" s="747">
        <f t="shared" si="57"/>
        <v>17.389574</v>
      </c>
      <c r="GF19" s="551">
        <f t="shared" si="88"/>
        <v>16</v>
      </c>
      <c r="GG19" s="670">
        <f t="shared" si="58"/>
        <v>16</v>
      </c>
      <c r="GH19" s="660" t="s">
        <v>405</v>
      </c>
      <c r="GI19" s="724">
        <f t="shared" si="59"/>
        <v>5.9028539999999996</v>
      </c>
      <c r="GJ19" s="724">
        <f t="shared" si="60"/>
        <v>1.7818449999999999</v>
      </c>
      <c r="GK19" s="724">
        <f t="shared" si="61"/>
        <v>4.0628950000000001</v>
      </c>
      <c r="GL19" s="724">
        <f t="shared" si="62"/>
        <v>0.70643999999999996</v>
      </c>
      <c r="GM19" s="724">
        <f t="shared" si="63"/>
        <v>0.79668000000000005</v>
      </c>
      <c r="GN19" s="724">
        <f t="shared" si="64"/>
        <v>1.4371510000000001</v>
      </c>
      <c r="GO19" s="724">
        <f t="shared" si="65"/>
        <v>2.7017090000000001</v>
      </c>
      <c r="GP19" s="724">
        <f t="shared" si="66"/>
        <v>17.389574</v>
      </c>
      <c r="GQ19" s="661">
        <f t="shared" si="89"/>
        <v>10423148.555883937</v>
      </c>
      <c r="GR19" s="530"/>
      <c r="GU19" s="222">
        <f t="shared" si="90"/>
        <v>16</v>
      </c>
      <c r="GV19" s="670">
        <f t="shared" si="67"/>
        <v>16</v>
      </c>
      <c r="GW19" s="660" t="s">
        <v>405</v>
      </c>
      <c r="GX19" s="663" t="s">
        <v>379</v>
      </c>
      <c r="GY19" s="671">
        <f t="shared" si="68"/>
        <v>1812541.1107465231</v>
      </c>
      <c r="GZ19" s="661">
        <f t="shared" si="69"/>
        <v>10423148.555883937</v>
      </c>
      <c r="HA19" s="724">
        <f t="shared" si="91"/>
        <v>17.389574</v>
      </c>
      <c r="HB19" s="650">
        <f t="shared" si="70"/>
        <v>1812541.1312553687</v>
      </c>
      <c r="HC19" s="750">
        <f t="shared" si="71"/>
        <v>2.0508845569565892E-2</v>
      </c>
      <c r="HD19" s="549"/>
      <c r="HG19" s="549"/>
      <c r="HH19" s="549"/>
      <c r="HI19" s="549"/>
      <c r="HJ19" s="549"/>
      <c r="HK19" s="549"/>
      <c r="HL19" s="549"/>
      <c r="HM19" s="549"/>
      <c r="HP19" s="551">
        <f t="shared" si="122"/>
        <v>16</v>
      </c>
      <c r="HQ19" s="762">
        <f t="shared" si="72"/>
        <v>16</v>
      </c>
      <c r="HR19" s="660" t="s">
        <v>405</v>
      </c>
      <c r="HS19" s="661">
        <f t="shared" si="92"/>
        <v>10423148.555883937</v>
      </c>
      <c r="HT19" s="757">
        <f t="shared" si="93"/>
        <v>17.389574</v>
      </c>
      <c r="HU19" s="757">
        <v>15.408874000000001</v>
      </c>
      <c r="HV19" s="651">
        <f t="shared" si="94"/>
        <v>0.12854281240796683</v>
      </c>
      <c r="HW19" s="757">
        <f t="shared" si="95"/>
        <v>1.9806999999999988</v>
      </c>
      <c r="HX19" s="652">
        <v>25</v>
      </c>
      <c r="IO19" s="551">
        <v>16</v>
      </c>
      <c r="IP19" s="762">
        <v>16</v>
      </c>
      <c r="IQ19" s="660" t="s">
        <v>405</v>
      </c>
      <c r="IR19" s="772">
        <f t="shared" si="96"/>
        <v>1812541.1107465231</v>
      </c>
      <c r="IS19" s="773">
        <f t="shared" si="96"/>
        <v>10423148.555883937</v>
      </c>
      <c r="IT19" s="774">
        <f t="shared" si="96"/>
        <v>17.389574</v>
      </c>
      <c r="IU19" s="661">
        <f t="shared" si="97"/>
        <v>1525482.427078929</v>
      </c>
      <c r="IV19" s="661">
        <f t="shared" si="98"/>
        <v>8897666.1288050078</v>
      </c>
      <c r="IW19" s="772">
        <f t="shared" si="99"/>
        <v>22882.236406183936</v>
      </c>
      <c r="IX19" s="772">
        <f t="shared" si="100"/>
        <v>1789658.8743403391</v>
      </c>
      <c r="IY19" s="455">
        <f t="shared" si="101"/>
        <v>17.17004094055692</v>
      </c>
      <c r="IZ19" s="555">
        <f t="shared" si="102"/>
        <v>18.67004094055692</v>
      </c>
      <c r="JA19" s="772">
        <f t="shared" si="103"/>
        <v>1812541.1107465231</v>
      </c>
      <c r="JB19" s="778">
        <f t="shared" si="104"/>
        <v>0.21953305944307999</v>
      </c>
      <c r="JF19" s="551">
        <f t="shared" si="123"/>
        <v>16</v>
      </c>
      <c r="JG19" s="762">
        <f t="shared" si="73"/>
        <v>16</v>
      </c>
      <c r="JH19" s="660" t="s">
        <v>405</v>
      </c>
      <c r="JI19" s="661">
        <f t="shared" si="105"/>
        <v>10423148.555883937</v>
      </c>
      <c r="JJ19" s="757">
        <f t="shared" si="106"/>
        <v>17.17004094055692</v>
      </c>
      <c r="JK19" s="757">
        <v>15.186640462678744</v>
      </c>
      <c r="JL19" s="651">
        <f t="shared" si="126"/>
        <v>0.13060166155591779</v>
      </c>
      <c r="JM19" s="757">
        <f t="shared" si="108"/>
        <v>1.9834004778781757</v>
      </c>
      <c r="JN19" s="652">
        <v>25</v>
      </c>
      <c r="JS19" s="757">
        <v>17.211053997305559</v>
      </c>
      <c r="JT19" s="757">
        <f t="shared" si="109"/>
        <v>-4.1013056748639087E-2</v>
      </c>
      <c r="JU19" s="1010">
        <v>10319127</v>
      </c>
      <c r="JV19" s="1009">
        <f t="shared" si="110"/>
        <v>-104021.55588393658</v>
      </c>
      <c r="JW19" s="978">
        <f t="shared" si="124"/>
        <v>-2.3829485838031653E-3</v>
      </c>
      <c r="JX19" s="997">
        <v>1776030.5200205371</v>
      </c>
      <c r="JY19" s="997">
        <f t="shared" si="111"/>
        <v>1789658.8743403393</v>
      </c>
      <c r="JZ19" s="516"/>
      <c r="KA19" s="516"/>
      <c r="KB19" s="516"/>
      <c r="KC19" s="516"/>
      <c r="KE19" s="516"/>
      <c r="KF19" s="516"/>
    </row>
    <row r="20" spans="2:292" ht="16.5" x14ac:dyDescent="0.3">
      <c r="I20" s="543">
        <f t="shared" si="112"/>
        <v>17</v>
      </c>
      <c r="J20" s="654">
        <f t="shared" si="1"/>
        <v>17</v>
      </c>
      <c r="K20" s="655" t="s">
        <v>406</v>
      </c>
      <c r="L20" s="991">
        <v>541796612.53490055</v>
      </c>
      <c r="M20" s="657">
        <f t="shared" si="2"/>
        <v>0.24688275674795063</v>
      </c>
      <c r="N20" s="656">
        <v>1263</v>
      </c>
      <c r="O20" s="656">
        <f t="shared" si="74"/>
        <v>428975.94024932745</v>
      </c>
      <c r="P20" s="657">
        <f t="shared" si="3"/>
        <v>0.24070296267527905</v>
      </c>
      <c r="Q20" s="658" t="s">
        <v>379</v>
      </c>
      <c r="U20" s="545">
        <f t="shared" si="113"/>
        <v>17</v>
      </c>
      <c r="V20" s="669">
        <f t="shared" si="4"/>
        <v>17</v>
      </c>
      <c r="W20" s="655" t="s">
        <v>406</v>
      </c>
      <c r="X20" s="646">
        <f t="shared" si="75"/>
        <v>21720149.355382465</v>
      </c>
      <c r="Y20" s="657">
        <f t="shared" si="5"/>
        <v>0.22455195037602613</v>
      </c>
      <c r="AC20" s="545">
        <f t="shared" si="114"/>
        <v>17</v>
      </c>
      <c r="AD20" s="678">
        <v>17</v>
      </c>
      <c r="AE20" s="679" t="s">
        <v>406</v>
      </c>
      <c r="AF20" s="680">
        <v>2.61</v>
      </c>
      <c r="AP20" s="545">
        <f t="shared" si="77"/>
        <v>17</v>
      </c>
      <c r="AQ20" s="693">
        <f t="shared" si="6"/>
        <v>17</v>
      </c>
      <c r="AR20" s="655" t="s">
        <v>406</v>
      </c>
      <c r="AS20" s="655">
        <f t="shared" si="7"/>
        <v>2.61</v>
      </c>
      <c r="AT20" s="694">
        <f t="shared" si="78"/>
        <v>541796612.53490055</v>
      </c>
      <c r="AU20" s="694">
        <f t="shared" si="115"/>
        <v>392802.54408780287</v>
      </c>
      <c r="AV20" s="695">
        <f t="shared" si="8"/>
        <v>405641.90548930451</v>
      </c>
      <c r="AW20" s="696">
        <f t="shared" si="9"/>
        <v>21.592508896755888</v>
      </c>
      <c r="AX20" s="646">
        <f t="shared" si="125"/>
        <v>8758826.4531748183</v>
      </c>
      <c r="AY20" s="544">
        <f t="shared" si="79"/>
        <v>0.20817933593220428</v>
      </c>
      <c r="AZ20" s="548">
        <f t="shared" si="10"/>
        <v>1.6166259999999999</v>
      </c>
      <c r="BK20" s="543">
        <f t="shared" si="116"/>
        <v>17</v>
      </c>
      <c r="BL20" s="658">
        <f t="shared" si="11"/>
        <v>17</v>
      </c>
      <c r="BM20" s="655" t="s">
        <v>406</v>
      </c>
      <c r="BN20" s="657">
        <f t="shared" si="80"/>
        <v>0.20817933593220428</v>
      </c>
      <c r="BO20" s="646">
        <f t="shared" si="81"/>
        <v>1995755.5228235039</v>
      </c>
      <c r="BP20" s="657">
        <f t="shared" si="82"/>
        <v>0.24688275674795063</v>
      </c>
      <c r="BQ20" s="646">
        <f t="shared" si="83"/>
        <v>2366794.1059725191</v>
      </c>
      <c r="BR20" s="708">
        <f t="shared" si="12"/>
        <v>4362549.6287960233</v>
      </c>
      <c r="BS20" s="709">
        <f t="shared" si="13"/>
        <v>0.80520099999999994</v>
      </c>
      <c r="BV20" s="15"/>
      <c r="BW20" s="190"/>
      <c r="BX20" s="190"/>
      <c r="BY20" s="190"/>
      <c r="BZ20" s="190"/>
      <c r="CA20" s="190"/>
      <c r="CB20" s="190"/>
      <c r="CC20" s="190"/>
      <c r="CD20" s="190"/>
      <c r="CH20" s="543">
        <f t="shared" si="117"/>
        <v>17</v>
      </c>
      <c r="CI20" s="678">
        <f t="shared" si="15"/>
        <v>17</v>
      </c>
      <c r="CJ20" s="655" t="s">
        <v>406</v>
      </c>
      <c r="CK20" s="657">
        <f t="shared" si="16"/>
        <v>0.24688275674795063</v>
      </c>
      <c r="CL20" s="646">
        <f t="shared" si="17"/>
        <v>1447162.2285733582</v>
      </c>
      <c r="CM20" s="657">
        <f t="shared" si="18"/>
        <v>0.24070296267527905</v>
      </c>
      <c r="CN20" s="646">
        <f t="shared" si="19"/>
        <v>4624380.0119018294</v>
      </c>
      <c r="CO20" s="646">
        <f t="shared" si="20"/>
        <v>6071542.2404751871</v>
      </c>
      <c r="CP20" s="657">
        <f t="shared" si="21"/>
        <v>0.242147676234924</v>
      </c>
      <c r="CQ20" s="709">
        <f t="shared" si="22"/>
        <v>1.1206309999999999</v>
      </c>
      <c r="DD20" s="15"/>
      <c r="DG20" s="545">
        <f t="shared" si="118"/>
        <v>17</v>
      </c>
      <c r="DH20" s="739">
        <f t="shared" si="24"/>
        <v>17</v>
      </c>
      <c r="DI20" s="655" t="s">
        <v>406</v>
      </c>
      <c r="DJ20" s="657">
        <f t="shared" si="25"/>
        <v>0.242147676234924</v>
      </c>
      <c r="DK20" s="646">
        <f t="shared" si="84"/>
        <v>91215.754627630507</v>
      </c>
      <c r="DL20" s="657">
        <f t="shared" si="26"/>
        <v>0.24070296267527905</v>
      </c>
      <c r="DM20" s="646">
        <f t="shared" si="27"/>
        <v>589273.47013018641</v>
      </c>
      <c r="DN20" s="657">
        <f t="shared" si="28"/>
        <v>0.24688275674795063</v>
      </c>
      <c r="DO20" s="646">
        <f t="shared" si="29"/>
        <v>876153.33099202567</v>
      </c>
      <c r="DP20" s="646">
        <f t="shared" si="85"/>
        <v>1556642.5557498424</v>
      </c>
      <c r="DQ20" s="657">
        <f t="shared" si="30"/>
        <v>0.24422924804113683</v>
      </c>
      <c r="DR20" s="709">
        <f t="shared" si="31"/>
        <v>0.28731099999999998</v>
      </c>
      <c r="DV20" s="545">
        <f t="shared" si="119"/>
        <v>17</v>
      </c>
      <c r="DW20" s="739">
        <f t="shared" si="32"/>
        <v>17</v>
      </c>
      <c r="DX20" s="655" t="s">
        <v>406</v>
      </c>
      <c r="DY20" s="657">
        <f t="shared" si="33"/>
        <v>0.24070296267527905</v>
      </c>
      <c r="DZ20" s="646">
        <f t="shared" si="34"/>
        <v>970588.47718659928</v>
      </c>
      <c r="EA20" s="709">
        <f t="shared" si="35"/>
        <v>0.179143</v>
      </c>
      <c r="EM20" s="545">
        <f t="shared" si="120"/>
        <v>17</v>
      </c>
      <c r="EN20" s="739">
        <f t="shared" si="36"/>
        <v>17</v>
      </c>
      <c r="EO20" s="655" t="s">
        <v>406</v>
      </c>
      <c r="EP20" s="657">
        <f t="shared" si="37"/>
        <v>0.22455195037602613</v>
      </c>
      <c r="EQ20" s="646">
        <f t="shared" si="38"/>
        <v>1765327.4935994456</v>
      </c>
      <c r="ER20" s="657">
        <f t="shared" si="39"/>
        <v>0.242147676234924</v>
      </c>
      <c r="ES20" s="646">
        <f t="shared" si="40"/>
        <v>245730.26501235846</v>
      </c>
      <c r="ET20" s="657">
        <f t="shared" si="41"/>
        <v>0.24688275674795063</v>
      </c>
      <c r="EU20" s="646">
        <f t="shared" si="42"/>
        <v>1060570.0831114291</v>
      </c>
      <c r="EV20" s="646">
        <f t="shared" si="43"/>
        <v>3071627.8417232335</v>
      </c>
      <c r="EW20" s="657">
        <f t="shared" si="44"/>
        <v>0.2331902783156026</v>
      </c>
      <c r="EX20" s="709">
        <f t="shared" si="45"/>
        <v>0.56693400000000005</v>
      </c>
      <c r="FH20" s="545">
        <f t="shared" si="121"/>
        <v>17</v>
      </c>
      <c r="FI20" s="669">
        <f t="shared" si="46"/>
        <v>17</v>
      </c>
      <c r="FJ20" s="655" t="s">
        <v>406</v>
      </c>
      <c r="FK20" s="657">
        <f t="shared" si="47"/>
        <v>0.22455195037602613</v>
      </c>
      <c r="FL20" s="646">
        <f t="shared" si="48"/>
        <v>4428555.0267323973</v>
      </c>
      <c r="FM20" s="709">
        <f t="shared" si="49"/>
        <v>0.81738299999999997</v>
      </c>
      <c r="FQ20" s="543">
        <v>17</v>
      </c>
      <c r="FR20" s="669">
        <v>17</v>
      </c>
      <c r="FS20" s="655" t="s">
        <v>406</v>
      </c>
      <c r="FT20" s="646">
        <f t="shared" si="50"/>
        <v>8758826.4531748183</v>
      </c>
      <c r="FU20" s="646">
        <f t="shared" si="51"/>
        <v>4362549.6287960233</v>
      </c>
      <c r="FV20" s="646">
        <f t="shared" si="52"/>
        <v>6071542.2404751871</v>
      </c>
      <c r="FW20" s="646">
        <f t="shared" si="87"/>
        <v>1556642.5557498424</v>
      </c>
      <c r="FX20" s="646">
        <f t="shared" si="53"/>
        <v>970588.47718659928</v>
      </c>
      <c r="FY20" s="646">
        <f t="shared" si="54"/>
        <v>3071627.8417232335</v>
      </c>
      <c r="FZ20" s="646">
        <f t="shared" si="55"/>
        <v>4428555.0267323973</v>
      </c>
      <c r="GA20" s="646">
        <f t="shared" si="56"/>
        <v>29220332.223838095</v>
      </c>
      <c r="GB20" s="746">
        <f t="shared" si="57"/>
        <v>5.3932289999999998</v>
      </c>
      <c r="GF20" s="545">
        <f t="shared" si="88"/>
        <v>17</v>
      </c>
      <c r="GG20" s="669">
        <f t="shared" si="58"/>
        <v>17</v>
      </c>
      <c r="GH20" s="655" t="s">
        <v>406</v>
      </c>
      <c r="GI20" s="709">
        <f t="shared" si="59"/>
        <v>1.6166259999999999</v>
      </c>
      <c r="GJ20" s="709">
        <f t="shared" si="60"/>
        <v>0.80520099999999994</v>
      </c>
      <c r="GK20" s="709">
        <f t="shared" si="61"/>
        <v>1.1206309999999999</v>
      </c>
      <c r="GL20" s="709">
        <f t="shared" si="62"/>
        <v>0.28731099999999998</v>
      </c>
      <c r="GM20" s="709">
        <f t="shared" si="63"/>
        <v>0.179143</v>
      </c>
      <c r="GN20" s="709">
        <f t="shared" si="64"/>
        <v>0.56693400000000005</v>
      </c>
      <c r="GO20" s="709">
        <f t="shared" si="65"/>
        <v>0.81738299999999997</v>
      </c>
      <c r="GP20" s="709">
        <f t="shared" si="66"/>
        <v>5.3932289999999998</v>
      </c>
      <c r="GQ20" s="656">
        <f t="shared" si="89"/>
        <v>541796612.53490055</v>
      </c>
      <c r="GR20" s="530"/>
      <c r="GU20" s="543">
        <f t="shared" si="90"/>
        <v>17</v>
      </c>
      <c r="GV20" s="669">
        <f t="shared" si="67"/>
        <v>17</v>
      </c>
      <c r="GW20" s="655" t="s">
        <v>406</v>
      </c>
      <c r="GX20" s="658" t="s">
        <v>379</v>
      </c>
      <c r="GY20" s="646">
        <f t="shared" si="68"/>
        <v>29220332.223838095</v>
      </c>
      <c r="GZ20" s="656">
        <f t="shared" si="69"/>
        <v>541796612.53490055</v>
      </c>
      <c r="HA20" s="709">
        <f t="shared" si="91"/>
        <v>5.3932289999999998</v>
      </c>
      <c r="HB20" s="646">
        <f t="shared" si="70"/>
        <v>29220332.02824989</v>
      </c>
      <c r="HC20" s="749">
        <f t="shared" si="71"/>
        <v>-0.19558820500969887</v>
      </c>
      <c r="HD20" s="549"/>
      <c r="HG20" s="549"/>
      <c r="HH20" s="549"/>
      <c r="HI20" s="549"/>
      <c r="HJ20" s="549"/>
      <c r="HK20" s="549"/>
      <c r="HL20" s="549"/>
      <c r="HM20" s="549"/>
      <c r="HP20" s="545">
        <f t="shared" si="122"/>
        <v>17</v>
      </c>
      <c r="HQ20" s="761">
        <f t="shared" si="72"/>
        <v>17</v>
      </c>
      <c r="HR20" s="655" t="s">
        <v>406</v>
      </c>
      <c r="HS20" s="656">
        <f t="shared" si="92"/>
        <v>541796612.53490055</v>
      </c>
      <c r="HT20" s="756">
        <f t="shared" si="93"/>
        <v>5.3932289999999998</v>
      </c>
      <c r="HU20" s="756">
        <v>4.7273310000000004</v>
      </c>
      <c r="HV20" s="647">
        <f t="shared" si="94"/>
        <v>0.14086130207510306</v>
      </c>
      <c r="HW20" s="756">
        <f t="shared" si="95"/>
        <v>0.66589799999999943</v>
      </c>
      <c r="HX20" s="648">
        <v>10</v>
      </c>
      <c r="IO20" s="545">
        <v>17</v>
      </c>
      <c r="IP20" s="761">
        <v>17</v>
      </c>
      <c r="IQ20" s="655" t="s">
        <v>406</v>
      </c>
      <c r="IR20" s="769">
        <f t="shared" si="96"/>
        <v>29220332.223838095</v>
      </c>
      <c r="IS20" s="770">
        <f t="shared" si="96"/>
        <v>541796612.53490055</v>
      </c>
      <c r="IT20" s="771">
        <f t="shared" si="96"/>
        <v>5.3932289999999998</v>
      </c>
      <c r="IU20" s="656">
        <f t="shared" si="97"/>
        <v>79294774.226960108</v>
      </c>
      <c r="IV20" s="656">
        <f t="shared" si="98"/>
        <v>462501838.30794042</v>
      </c>
      <c r="IW20" s="769">
        <f t="shared" si="99"/>
        <v>1189421.6134044016</v>
      </c>
      <c r="IX20" s="769">
        <f t="shared" si="100"/>
        <v>28030910.610433694</v>
      </c>
      <c r="IY20" s="550">
        <f t="shared" si="101"/>
        <v>5.1736961734193283</v>
      </c>
      <c r="IZ20" s="550">
        <f t="shared" si="102"/>
        <v>6.6736961734193283</v>
      </c>
      <c r="JA20" s="769">
        <f t="shared" si="103"/>
        <v>29220332.223838095</v>
      </c>
      <c r="JB20" s="746">
        <f t="shared" si="104"/>
        <v>0.21953282658067153</v>
      </c>
      <c r="JF20" s="545">
        <f t="shared" si="123"/>
        <v>17</v>
      </c>
      <c r="JG20" s="761">
        <f t="shared" si="73"/>
        <v>17</v>
      </c>
      <c r="JH20" s="655" t="s">
        <v>406</v>
      </c>
      <c r="JI20" s="656">
        <f t="shared" si="105"/>
        <v>541796612.53490055</v>
      </c>
      <c r="JJ20" s="756">
        <f t="shared" si="106"/>
        <v>5.1736961734193283</v>
      </c>
      <c r="JK20" s="756">
        <v>4.505097789107122</v>
      </c>
      <c r="JL20" s="647">
        <f t="shared" si="126"/>
        <v>0.14840929445056905</v>
      </c>
      <c r="JM20" s="756">
        <f t="shared" si="108"/>
        <v>0.66859838431220631</v>
      </c>
      <c r="JN20" s="648">
        <v>10</v>
      </c>
      <c r="JS20" s="756">
        <v>5.1865792670674784</v>
      </c>
      <c r="JT20" s="756">
        <f t="shared" si="109"/>
        <v>-1.2883093648150101E-2</v>
      </c>
      <c r="JU20" s="1009">
        <v>537876661</v>
      </c>
      <c r="JV20" s="1009">
        <f t="shared" si="110"/>
        <v>-3919951.5349005461</v>
      </c>
      <c r="JW20" s="978">
        <f t="shared" si="124"/>
        <v>-2.4839288064008084E-3</v>
      </c>
      <c r="JX20" s="997">
        <v>27897399.381820828</v>
      </c>
      <c r="JY20" s="997">
        <f t="shared" si="111"/>
        <v>28030910.610433694</v>
      </c>
      <c r="JZ20" s="516"/>
      <c r="KA20" s="516"/>
      <c r="KB20" s="516"/>
      <c r="KC20" s="516"/>
      <c r="KE20" s="516"/>
      <c r="KF20" s="516"/>
    </row>
    <row r="21" spans="2:292" ht="16.5" x14ac:dyDescent="0.3">
      <c r="I21" s="222">
        <f t="shared" si="112"/>
        <v>18</v>
      </c>
      <c r="J21" s="659">
        <f t="shared" si="1"/>
        <v>18</v>
      </c>
      <c r="K21" s="660" t="s">
        <v>407</v>
      </c>
      <c r="L21" s="991">
        <v>54473415.37791153</v>
      </c>
      <c r="M21" s="662">
        <f t="shared" si="2"/>
        <v>2.4822131860613467E-2</v>
      </c>
      <c r="N21" s="661">
        <v>354</v>
      </c>
      <c r="O21" s="661">
        <f t="shared" si="74"/>
        <v>153879.7044573772</v>
      </c>
      <c r="P21" s="662">
        <f t="shared" si="3"/>
        <v>8.6343538840335007E-2</v>
      </c>
      <c r="Q21" s="663" t="s">
        <v>379</v>
      </c>
      <c r="U21" s="551">
        <f t="shared" si="113"/>
        <v>18</v>
      </c>
      <c r="V21" s="670">
        <f t="shared" si="4"/>
        <v>18</v>
      </c>
      <c r="W21" s="660" t="s">
        <v>407</v>
      </c>
      <c r="X21" s="671">
        <f t="shared" si="75"/>
        <v>6221904.1669456521</v>
      </c>
      <c r="Y21" s="662">
        <f t="shared" si="5"/>
        <v>6.4324636671715382E-2</v>
      </c>
      <c r="AC21" s="551">
        <f t="shared" si="114"/>
        <v>18</v>
      </c>
      <c r="AD21" s="681">
        <v>18</v>
      </c>
      <c r="AE21" s="682" t="s">
        <v>407</v>
      </c>
      <c r="AF21" s="683">
        <v>8.4600000000000009</v>
      </c>
      <c r="AP21" s="551">
        <f t="shared" si="77"/>
        <v>18</v>
      </c>
      <c r="AQ21" s="697">
        <f t="shared" si="6"/>
        <v>18</v>
      </c>
      <c r="AR21" s="660" t="s">
        <v>407</v>
      </c>
      <c r="AS21" s="660">
        <f t="shared" si="7"/>
        <v>8.4600000000000009</v>
      </c>
      <c r="AT21" s="698">
        <f t="shared" si="78"/>
        <v>54473415.37791153</v>
      </c>
      <c r="AU21" s="698">
        <f>AT21*AS21/3600</f>
        <v>128012.52613809211</v>
      </c>
      <c r="AV21" s="699">
        <f t="shared" si="8"/>
        <v>132196.81443190403</v>
      </c>
      <c r="AW21" s="700">
        <f t="shared" si="9"/>
        <v>21.592508896755888</v>
      </c>
      <c r="AX21" s="671">
        <f t="shared" si="125"/>
        <v>2854460.8917436749</v>
      </c>
      <c r="AY21" s="465">
        <f t="shared" si="79"/>
        <v>6.7844679428743712E-2</v>
      </c>
      <c r="AZ21" s="553">
        <f t="shared" si="10"/>
        <v>5.2400989999999998</v>
      </c>
      <c r="BK21" s="222">
        <f t="shared" si="116"/>
        <v>18</v>
      </c>
      <c r="BL21" s="663">
        <f t="shared" si="11"/>
        <v>18</v>
      </c>
      <c r="BM21" s="660" t="s">
        <v>407</v>
      </c>
      <c r="BN21" s="662">
        <f t="shared" si="80"/>
        <v>6.7844679428743712E-2</v>
      </c>
      <c r="BO21" s="671">
        <f t="shared" si="81"/>
        <v>650407.46267055185</v>
      </c>
      <c r="BP21" s="662">
        <f t="shared" si="82"/>
        <v>2.4822131860613467E-2</v>
      </c>
      <c r="BQ21" s="671">
        <f t="shared" si="83"/>
        <v>237962.65141899307</v>
      </c>
      <c r="BR21" s="710">
        <f t="shared" si="12"/>
        <v>888370.11408954486</v>
      </c>
      <c r="BS21" s="711">
        <f t="shared" si="13"/>
        <v>1.6308320000000001</v>
      </c>
      <c r="BV21" s="15"/>
      <c r="BW21" s="190"/>
      <c r="BX21" s="190"/>
      <c r="BY21" s="190"/>
      <c r="BZ21" s="190"/>
      <c r="CA21" s="190"/>
      <c r="CB21" s="190"/>
      <c r="CC21" s="190"/>
      <c r="CD21" s="190"/>
      <c r="CH21" s="222">
        <f t="shared" si="117"/>
        <v>18</v>
      </c>
      <c r="CI21" s="681">
        <f t="shared" si="15"/>
        <v>18</v>
      </c>
      <c r="CJ21" s="660" t="s">
        <v>407</v>
      </c>
      <c r="CK21" s="723">
        <f t="shared" si="16"/>
        <v>2.4822131860613467E-2</v>
      </c>
      <c r="CL21" s="650">
        <f t="shared" si="17"/>
        <v>145500.8528522733</v>
      </c>
      <c r="CM21" s="723">
        <f t="shared" si="18"/>
        <v>8.6343538840335007E-2</v>
      </c>
      <c r="CN21" s="650">
        <f t="shared" si="19"/>
        <v>1658830.1644993515</v>
      </c>
      <c r="CO21" s="650">
        <f t="shared" si="20"/>
        <v>1804331.0173516248</v>
      </c>
      <c r="CP21" s="723">
        <f t="shared" si="21"/>
        <v>7.1961051361490211E-2</v>
      </c>
      <c r="CQ21" s="724">
        <f t="shared" si="22"/>
        <v>3.3123149999999999</v>
      </c>
      <c r="DD21" s="15"/>
      <c r="DG21" s="551">
        <f t="shared" si="118"/>
        <v>18</v>
      </c>
      <c r="DH21" s="677">
        <f t="shared" si="24"/>
        <v>18</v>
      </c>
      <c r="DI21" s="660" t="s">
        <v>407</v>
      </c>
      <c r="DJ21" s="723">
        <f t="shared" si="25"/>
        <v>7.1961051361490211E-2</v>
      </c>
      <c r="DK21" s="650">
        <f t="shared" si="84"/>
        <v>27107.349142462306</v>
      </c>
      <c r="DL21" s="723">
        <f t="shared" si="26"/>
        <v>8.6343538840335007E-2</v>
      </c>
      <c r="DM21" s="650">
        <f t="shared" si="27"/>
        <v>211380.68343763793</v>
      </c>
      <c r="DN21" s="723">
        <f t="shared" si="28"/>
        <v>2.4822131860613467E-2</v>
      </c>
      <c r="DO21" s="650">
        <f t="shared" si="29"/>
        <v>88090.370500046294</v>
      </c>
      <c r="DP21" s="650">
        <f t="shared" si="85"/>
        <v>326578.40308014653</v>
      </c>
      <c r="DQ21" s="723">
        <f t="shared" si="30"/>
        <v>5.1238479582950039E-2</v>
      </c>
      <c r="DR21" s="724">
        <f t="shared" si="31"/>
        <v>0.59951900000000002</v>
      </c>
      <c r="DV21" s="551">
        <f t="shared" si="119"/>
        <v>18</v>
      </c>
      <c r="DW21" s="677">
        <f t="shared" si="32"/>
        <v>18</v>
      </c>
      <c r="DX21" s="660" t="s">
        <v>407</v>
      </c>
      <c r="DY21" s="723">
        <f t="shared" si="33"/>
        <v>8.6343538840335007E-2</v>
      </c>
      <c r="DZ21" s="650">
        <f t="shared" si="34"/>
        <v>348163.74068066129</v>
      </c>
      <c r="EA21" s="724">
        <f t="shared" si="35"/>
        <v>0.63914400000000005</v>
      </c>
      <c r="EM21" s="551">
        <f t="shared" si="120"/>
        <v>18</v>
      </c>
      <c r="EN21" s="677">
        <f t="shared" si="36"/>
        <v>18</v>
      </c>
      <c r="EO21" s="660" t="s">
        <v>407</v>
      </c>
      <c r="EP21" s="723">
        <f t="shared" si="37"/>
        <v>6.4324636671715382E-2</v>
      </c>
      <c r="EQ21" s="650">
        <f t="shared" si="38"/>
        <v>505691.66485626606</v>
      </c>
      <c r="ER21" s="723">
        <f t="shared" si="39"/>
        <v>7.1961051361490211E-2</v>
      </c>
      <c r="ES21" s="650">
        <f t="shared" si="40"/>
        <v>73025.719249403133</v>
      </c>
      <c r="ET21" s="723">
        <f t="shared" si="41"/>
        <v>2.4822131860613467E-2</v>
      </c>
      <c r="EU21" s="650">
        <f t="shared" si="42"/>
        <v>106632.03375232161</v>
      </c>
      <c r="EV21" s="650">
        <f t="shared" si="43"/>
        <v>685349.41785799083</v>
      </c>
      <c r="EW21" s="723">
        <f t="shared" si="44"/>
        <v>5.2030008102830989E-2</v>
      </c>
      <c r="EX21" s="724">
        <f t="shared" si="45"/>
        <v>1.2581359999999999</v>
      </c>
      <c r="FH21" s="551">
        <f t="shared" si="121"/>
        <v>18</v>
      </c>
      <c r="FI21" s="670">
        <f t="shared" si="46"/>
        <v>18</v>
      </c>
      <c r="FJ21" s="660" t="s">
        <v>407</v>
      </c>
      <c r="FK21" s="723">
        <f t="shared" si="47"/>
        <v>6.4324636671715382E-2</v>
      </c>
      <c r="FL21" s="650">
        <f t="shared" si="48"/>
        <v>1268593.7156111798</v>
      </c>
      <c r="FM21" s="724">
        <f t="shared" si="49"/>
        <v>2.3288310000000001</v>
      </c>
      <c r="FQ21" s="222">
        <v>18</v>
      </c>
      <c r="FR21" s="670">
        <v>18</v>
      </c>
      <c r="FS21" s="660" t="s">
        <v>407</v>
      </c>
      <c r="FT21" s="650">
        <f t="shared" si="50"/>
        <v>2854460.8917436749</v>
      </c>
      <c r="FU21" s="650">
        <f t="shared" si="51"/>
        <v>888370.11408954486</v>
      </c>
      <c r="FV21" s="650">
        <f t="shared" si="52"/>
        <v>1804331.0173516248</v>
      </c>
      <c r="FW21" s="650">
        <f t="shared" si="87"/>
        <v>326578.40308014653</v>
      </c>
      <c r="FX21" s="650">
        <f t="shared" si="53"/>
        <v>348163.74068066129</v>
      </c>
      <c r="FY21" s="650">
        <f t="shared" si="54"/>
        <v>685349.41785799083</v>
      </c>
      <c r="FZ21" s="650">
        <f t="shared" si="55"/>
        <v>1268593.7156111798</v>
      </c>
      <c r="GA21" s="650">
        <f t="shared" si="56"/>
        <v>8175847.300414823</v>
      </c>
      <c r="GB21" s="747">
        <f t="shared" si="57"/>
        <v>15.008876000000001</v>
      </c>
      <c r="GF21" s="551">
        <f t="shared" si="88"/>
        <v>18</v>
      </c>
      <c r="GG21" s="670">
        <f t="shared" si="58"/>
        <v>18</v>
      </c>
      <c r="GH21" s="660" t="s">
        <v>407</v>
      </c>
      <c r="GI21" s="724">
        <f t="shared" si="59"/>
        <v>5.2400989999999998</v>
      </c>
      <c r="GJ21" s="724">
        <f t="shared" si="60"/>
        <v>1.6308320000000001</v>
      </c>
      <c r="GK21" s="724">
        <f t="shared" si="61"/>
        <v>3.3123149999999999</v>
      </c>
      <c r="GL21" s="724">
        <f t="shared" si="62"/>
        <v>0.59951900000000002</v>
      </c>
      <c r="GM21" s="724">
        <f t="shared" si="63"/>
        <v>0.63914400000000005</v>
      </c>
      <c r="GN21" s="724">
        <f t="shared" si="64"/>
        <v>1.2581359999999999</v>
      </c>
      <c r="GO21" s="724">
        <f t="shared" si="65"/>
        <v>2.3288310000000001</v>
      </c>
      <c r="GP21" s="724">
        <f t="shared" si="66"/>
        <v>15.008876000000001</v>
      </c>
      <c r="GQ21" s="661">
        <f t="shared" si="89"/>
        <v>54473415.37791153</v>
      </c>
      <c r="GR21" s="530"/>
      <c r="GU21" s="222">
        <f t="shared" si="90"/>
        <v>18</v>
      </c>
      <c r="GV21" s="670">
        <f t="shared" si="67"/>
        <v>18</v>
      </c>
      <c r="GW21" s="660" t="s">
        <v>407</v>
      </c>
      <c r="GX21" s="663" t="s">
        <v>379</v>
      </c>
      <c r="GY21" s="671">
        <f t="shared" si="68"/>
        <v>8175847.300414823</v>
      </c>
      <c r="GZ21" s="661">
        <f t="shared" si="69"/>
        <v>54473415.37791153</v>
      </c>
      <c r="HA21" s="724">
        <f t="shared" si="91"/>
        <v>15.008876000000001</v>
      </c>
      <c r="HB21" s="650">
        <f t="shared" si="70"/>
        <v>8175847.3670356739</v>
      </c>
      <c r="HC21" s="750">
        <f t="shared" si="71"/>
        <v>6.6620850935578346E-2</v>
      </c>
      <c r="HD21" s="549"/>
      <c r="HG21" s="549"/>
      <c r="HH21" s="549"/>
      <c r="HI21" s="549"/>
      <c r="HJ21" s="549"/>
      <c r="HK21" s="549"/>
      <c r="HL21" s="549"/>
      <c r="HM21" s="549"/>
      <c r="HP21" s="551">
        <f t="shared" si="122"/>
        <v>18</v>
      </c>
      <c r="HQ21" s="762">
        <f t="shared" si="72"/>
        <v>18</v>
      </c>
      <c r="HR21" s="660" t="s">
        <v>407</v>
      </c>
      <c r="HS21" s="661">
        <f t="shared" si="92"/>
        <v>54473415.37791153</v>
      </c>
      <c r="HT21" s="757">
        <f t="shared" si="93"/>
        <v>15.008876000000001</v>
      </c>
      <c r="HU21" s="757">
        <v>13.268026000000001</v>
      </c>
      <c r="HV21" s="651">
        <f t="shared" si="94"/>
        <v>0.13120640553462892</v>
      </c>
      <c r="HW21" s="757">
        <f t="shared" si="95"/>
        <v>1.74085</v>
      </c>
      <c r="HX21" s="652">
        <v>25</v>
      </c>
      <c r="IO21" s="551">
        <v>18</v>
      </c>
      <c r="IP21" s="762">
        <v>18</v>
      </c>
      <c r="IQ21" s="660" t="s">
        <v>407</v>
      </c>
      <c r="IR21" s="772">
        <f t="shared" si="96"/>
        <v>8175847.300414823</v>
      </c>
      <c r="IS21" s="773">
        <f t="shared" si="96"/>
        <v>54473415.37791153</v>
      </c>
      <c r="IT21" s="774">
        <f t="shared" si="96"/>
        <v>15.008876000000001</v>
      </c>
      <c r="IU21" s="661">
        <f t="shared" si="97"/>
        <v>7972469.8786016656</v>
      </c>
      <c r="IV21" s="661">
        <f t="shared" si="98"/>
        <v>46500945.499309868</v>
      </c>
      <c r="IW21" s="772">
        <f t="shared" si="99"/>
        <v>119587.04817902498</v>
      </c>
      <c r="IX21" s="772">
        <f t="shared" si="100"/>
        <v>8056260.2522357982</v>
      </c>
      <c r="IY21" s="455">
        <f t="shared" si="101"/>
        <v>14.789343015019648</v>
      </c>
      <c r="IZ21" s="555">
        <f t="shared" si="102"/>
        <v>16.289343015019647</v>
      </c>
      <c r="JA21" s="772">
        <f t="shared" si="103"/>
        <v>8175847.300414823</v>
      </c>
      <c r="JB21" s="778">
        <f t="shared" si="104"/>
        <v>0.21953298498035245</v>
      </c>
      <c r="JF21" s="551">
        <f t="shared" si="123"/>
        <v>18</v>
      </c>
      <c r="JG21" s="762">
        <f t="shared" si="73"/>
        <v>18</v>
      </c>
      <c r="JH21" s="660" t="s">
        <v>407</v>
      </c>
      <c r="JI21" s="661">
        <f t="shared" si="105"/>
        <v>54473415.37791153</v>
      </c>
      <c r="JJ21" s="757">
        <f t="shared" si="106"/>
        <v>14.789343015019648</v>
      </c>
      <c r="JK21" s="757">
        <v>13.045793174517087</v>
      </c>
      <c r="JL21" s="651">
        <f t="shared" si="126"/>
        <v>0.13364843495359957</v>
      </c>
      <c r="JM21" s="757">
        <f t="shared" si="108"/>
        <v>1.7435498405025616</v>
      </c>
      <c r="JN21" s="652">
        <v>25</v>
      </c>
      <c r="JS21" s="757">
        <v>14.823653001508386</v>
      </c>
      <c r="JT21" s="757">
        <f t="shared" si="109"/>
        <v>-3.4309986488738176E-2</v>
      </c>
      <c r="JU21" s="1010">
        <v>54037187</v>
      </c>
      <c r="JV21" s="1009">
        <f t="shared" si="110"/>
        <v>-436228.37791153044</v>
      </c>
      <c r="JW21" s="978">
        <f t="shared" si="124"/>
        <v>-2.3145432833085711E-3</v>
      </c>
      <c r="JX21" s="997">
        <v>8010285.0926561998</v>
      </c>
      <c r="JY21" s="997">
        <f t="shared" si="111"/>
        <v>8056260.2522357972</v>
      </c>
      <c r="JZ21" s="516"/>
      <c r="KA21" s="516"/>
      <c r="KB21" s="516"/>
      <c r="KC21" s="516"/>
      <c r="KE21" s="516"/>
      <c r="KF21" s="516"/>
    </row>
    <row r="22" spans="2:292" ht="16.5" x14ac:dyDescent="0.3">
      <c r="I22" s="543">
        <v>19</v>
      </c>
      <c r="J22" s="654">
        <f t="shared" si="1"/>
        <v>19</v>
      </c>
      <c r="K22" s="655" t="s">
        <v>408</v>
      </c>
      <c r="L22" s="991">
        <v>1433.6216162937867</v>
      </c>
      <c r="M22" s="657">
        <f t="shared" si="2"/>
        <v>6.5326443276952657E-7</v>
      </c>
      <c r="N22" s="656">
        <v>25</v>
      </c>
      <c r="O22" s="656">
        <f t="shared" si="74"/>
        <v>57.344864651751465</v>
      </c>
      <c r="P22" s="657">
        <f t="shared" si="3"/>
        <v>3.2176813477853558E-5</v>
      </c>
      <c r="Q22" s="658" t="s">
        <v>379</v>
      </c>
      <c r="U22" s="545">
        <f t="shared" si="113"/>
        <v>19</v>
      </c>
      <c r="V22" s="669">
        <f t="shared" si="4"/>
        <v>19</v>
      </c>
      <c r="W22" s="655" t="s">
        <v>408</v>
      </c>
      <c r="X22" s="646">
        <f t="shared" si="75"/>
        <v>2278.4010790621569</v>
      </c>
      <c r="Y22" s="657">
        <f t="shared" si="5"/>
        <v>2.3555059298681366E-5</v>
      </c>
      <c r="AC22" s="545">
        <f t="shared" si="114"/>
        <v>19</v>
      </c>
      <c r="AD22" s="678">
        <v>19</v>
      </c>
      <c r="AE22" s="679" t="s">
        <v>408</v>
      </c>
      <c r="AF22" s="680">
        <v>131.15</v>
      </c>
      <c r="AP22" s="545">
        <f t="shared" si="77"/>
        <v>19</v>
      </c>
      <c r="AQ22" s="693">
        <f t="shared" si="6"/>
        <v>19</v>
      </c>
      <c r="AR22" s="655" t="s">
        <v>408</v>
      </c>
      <c r="AS22" s="655">
        <f t="shared" si="7"/>
        <v>131.15</v>
      </c>
      <c r="AT22" s="694">
        <f t="shared" si="78"/>
        <v>1433.6216162937867</v>
      </c>
      <c r="AU22" s="694">
        <f t="shared" si="115"/>
        <v>52.227631938036147</v>
      </c>
      <c r="AV22" s="695">
        <f t="shared" si="8"/>
        <v>53.934773227444808</v>
      </c>
      <c r="AW22" s="696">
        <f t="shared" si="9"/>
        <v>21.592508896755888</v>
      </c>
      <c r="AX22" s="646">
        <f t="shared" si="125"/>
        <v>1164.5870707581132</v>
      </c>
      <c r="AY22" s="544">
        <f t="shared" si="79"/>
        <v>2.7679845504619687E-5</v>
      </c>
      <c r="AZ22" s="548">
        <f t="shared" si="10"/>
        <v>81.233922000000007</v>
      </c>
      <c r="BK22" s="543">
        <f t="shared" si="116"/>
        <v>19</v>
      </c>
      <c r="BL22" s="658">
        <f t="shared" si="11"/>
        <v>19</v>
      </c>
      <c r="BM22" s="655" t="s">
        <v>408</v>
      </c>
      <c r="BN22" s="657">
        <f t="shared" si="80"/>
        <v>2.7679845504619687E-5</v>
      </c>
      <c r="BO22" s="646">
        <f t="shared" si="81"/>
        <v>265.35873164057102</v>
      </c>
      <c r="BP22" s="657">
        <f t="shared" si="82"/>
        <v>6.5326443276952657E-7</v>
      </c>
      <c r="BQ22" s="646">
        <f t="shared" si="83"/>
        <v>6.2626585569882289</v>
      </c>
      <c r="BR22" s="708">
        <f t="shared" si="12"/>
        <v>271.62139019755926</v>
      </c>
      <c r="BS22" s="709">
        <f t="shared" si="13"/>
        <v>18.946518999999999</v>
      </c>
      <c r="BV22" s="15"/>
      <c r="BW22" s="190"/>
      <c r="BX22" s="190"/>
      <c r="BY22" s="190"/>
      <c r="BZ22" s="190"/>
      <c r="CA22" s="190"/>
      <c r="CB22" s="190"/>
      <c r="CC22" s="190"/>
      <c r="CD22" s="190"/>
      <c r="CH22" s="543">
        <f t="shared" si="117"/>
        <v>19</v>
      </c>
      <c r="CI22" s="678">
        <f t="shared" si="15"/>
        <v>19</v>
      </c>
      <c r="CJ22" s="655" t="s">
        <v>408</v>
      </c>
      <c r="CK22" s="657">
        <f t="shared" si="16"/>
        <v>6.5326443276952657E-7</v>
      </c>
      <c r="CL22" s="646">
        <f t="shared" si="17"/>
        <v>3.8292654571239368</v>
      </c>
      <c r="CM22" s="657">
        <f t="shared" si="18"/>
        <v>3.2176813477853558E-5</v>
      </c>
      <c r="CN22" s="646">
        <f t="shared" si="19"/>
        <v>618.18023110257866</v>
      </c>
      <c r="CO22" s="646">
        <f t="shared" si="20"/>
        <v>622.0094965597026</v>
      </c>
      <c r="CP22" s="657">
        <f t="shared" si="21"/>
        <v>2.48072315438917E-5</v>
      </c>
      <c r="CQ22" s="709">
        <f t="shared" si="22"/>
        <v>43.387284999999999</v>
      </c>
      <c r="DD22" s="15"/>
      <c r="DG22" s="545">
        <f t="shared" si="118"/>
        <v>19</v>
      </c>
      <c r="DH22" s="739">
        <f t="shared" si="24"/>
        <v>19</v>
      </c>
      <c r="DI22" s="655" t="s">
        <v>408</v>
      </c>
      <c r="DJ22" s="657">
        <f t="shared" si="25"/>
        <v>2.48072315438917E-5</v>
      </c>
      <c r="DK22" s="646">
        <f t="shared" si="84"/>
        <v>9.344753502004016</v>
      </c>
      <c r="DL22" s="657">
        <f t="shared" si="26"/>
        <v>3.2176813477853558E-5</v>
      </c>
      <c r="DM22" s="646">
        <f t="shared" si="27"/>
        <v>78.77319965274306</v>
      </c>
      <c r="DN22" s="657">
        <f t="shared" si="28"/>
        <v>6.5326443276952657E-7</v>
      </c>
      <c r="DO22" s="646">
        <f t="shared" si="29"/>
        <v>2.3183466367964076</v>
      </c>
      <c r="DP22" s="646">
        <f t="shared" si="85"/>
        <v>90.436299791543476</v>
      </c>
      <c r="DQ22" s="657">
        <f t="shared" si="30"/>
        <v>1.4188992464665065E-5</v>
      </c>
      <c r="DR22" s="709">
        <f t="shared" si="31"/>
        <v>6.3082409999999998</v>
      </c>
      <c r="DV22" s="545">
        <f t="shared" si="119"/>
        <v>19</v>
      </c>
      <c r="DW22" s="739">
        <f t="shared" si="32"/>
        <v>19</v>
      </c>
      <c r="DX22" s="655" t="s">
        <v>408</v>
      </c>
      <c r="DY22" s="657">
        <f t="shared" si="33"/>
        <v>3.2176813477853558E-5</v>
      </c>
      <c r="DZ22" s="646">
        <f t="shared" si="34"/>
        <v>129.74682175523799</v>
      </c>
      <c r="EA22" s="709">
        <f t="shared" si="35"/>
        <v>9.0502839999999996</v>
      </c>
      <c r="EM22" s="545">
        <f t="shared" si="120"/>
        <v>19</v>
      </c>
      <c r="EN22" s="739">
        <f t="shared" si="36"/>
        <v>19</v>
      </c>
      <c r="EO22" s="655" t="s">
        <v>408</v>
      </c>
      <c r="EP22" s="657">
        <f t="shared" si="37"/>
        <v>2.3555059298681366E-5</v>
      </c>
      <c r="EQ22" s="646">
        <f t="shared" si="38"/>
        <v>185.17939266924736</v>
      </c>
      <c r="ER22" s="657">
        <f t="shared" si="39"/>
        <v>2.48072315438917E-5</v>
      </c>
      <c r="ES22" s="646">
        <f t="shared" si="40"/>
        <v>25.174255959365098</v>
      </c>
      <c r="ET22" s="657">
        <f t="shared" si="41"/>
        <v>6.5326443276952657E-7</v>
      </c>
      <c r="EU22" s="646">
        <f t="shared" si="42"/>
        <v>2.806322818500643</v>
      </c>
      <c r="EV22" s="646">
        <f t="shared" si="43"/>
        <v>213.15997144711309</v>
      </c>
      <c r="EW22" s="657">
        <f t="shared" si="44"/>
        <v>1.6182570164363356E-5</v>
      </c>
      <c r="EX22" s="709">
        <f t="shared" si="45"/>
        <v>14.868634999999999</v>
      </c>
      <c r="FH22" s="545">
        <f t="shared" si="121"/>
        <v>19</v>
      </c>
      <c r="FI22" s="669">
        <f t="shared" si="46"/>
        <v>19</v>
      </c>
      <c r="FJ22" s="655" t="s">
        <v>408</v>
      </c>
      <c r="FK22" s="657">
        <f t="shared" si="47"/>
        <v>2.3555059298681366E-5</v>
      </c>
      <c r="FL22" s="646">
        <f t="shared" si="48"/>
        <v>464.54673890595632</v>
      </c>
      <c r="FM22" s="709">
        <f t="shared" si="49"/>
        <v>32.40372</v>
      </c>
      <c r="FQ22" s="543">
        <v>19</v>
      </c>
      <c r="FR22" s="669">
        <v>19</v>
      </c>
      <c r="FS22" s="655" t="s">
        <v>408</v>
      </c>
      <c r="FT22" s="646">
        <f t="shared" si="50"/>
        <v>1164.5870707581132</v>
      </c>
      <c r="FU22" s="646">
        <f t="shared" si="51"/>
        <v>271.62139019755926</v>
      </c>
      <c r="FV22" s="646">
        <f t="shared" si="52"/>
        <v>622.0094965597026</v>
      </c>
      <c r="FW22" s="646">
        <f t="shared" si="87"/>
        <v>90.436299791543476</v>
      </c>
      <c r="FX22" s="646">
        <f t="shared" si="53"/>
        <v>129.74682175523799</v>
      </c>
      <c r="FY22" s="646">
        <f t="shared" si="54"/>
        <v>213.15997144711309</v>
      </c>
      <c r="FZ22" s="646">
        <f t="shared" si="55"/>
        <v>464.54673890595632</v>
      </c>
      <c r="GA22" s="646">
        <f t="shared" si="56"/>
        <v>2956.1077894152263</v>
      </c>
      <c r="GB22" s="746">
        <f t="shared" si="57"/>
        <v>206.19860600000001</v>
      </c>
      <c r="GF22" s="545">
        <f t="shared" si="88"/>
        <v>19</v>
      </c>
      <c r="GG22" s="669">
        <f t="shared" si="58"/>
        <v>19</v>
      </c>
      <c r="GH22" s="655" t="s">
        <v>408</v>
      </c>
      <c r="GI22" s="709">
        <f t="shared" si="59"/>
        <v>81.233922000000007</v>
      </c>
      <c r="GJ22" s="709">
        <f t="shared" si="60"/>
        <v>18.946518999999999</v>
      </c>
      <c r="GK22" s="709">
        <f t="shared" si="61"/>
        <v>43.387284999999999</v>
      </c>
      <c r="GL22" s="709">
        <f t="shared" si="62"/>
        <v>6.3082409999999998</v>
      </c>
      <c r="GM22" s="709">
        <f t="shared" si="63"/>
        <v>9.0502839999999996</v>
      </c>
      <c r="GN22" s="709">
        <f t="shared" si="64"/>
        <v>14.868634999999999</v>
      </c>
      <c r="GO22" s="709">
        <f t="shared" si="65"/>
        <v>32.40372</v>
      </c>
      <c r="GP22" s="709">
        <f t="shared" si="66"/>
        <v>206.19860600000001</v>
      </c>
      <c r="GQ22" s="656">
        <f t="shared" si="89"/>
        <v>1433.6216162937867</v>
      </c>
      <c r="GR22" s="530"/>
      <c r="GU22" s="543">
        <f t="shared" si="90"/>
        <v>19</v>
      </c>
      <c r="GV22" s="669">
        <f t="shared" si="67"/>
        <v>19</v>
      </c>
      <c r="GW22" s="655" t="s">
        <v>408</v>
      </c>
      <c r="GX22" s="658" t="s">
        <v>379</v>
      </c>
      <c r="GY22" s="646">
        <f t="shared" si="68"/>
        <v>2956.1077894152263</v>
      </c>
      <c r="GZ22" s="656">
        <f t="shared" si="69"/>
        <v>1433.6216162937867</v>
      </c>
      <c r="HA22" s="709">
        <f t="shared" si="91"/>
        <v>206.19860600000001</v>
      </c>
      <c r="HB22" s="646">
        <f t="shared" si="70"/>
        <v>2956.1077881124575</v>
      </c>
      <c r="HC22" s="749">
        <f t="shared" si="71"/>
        <v>-1.3027688510192093E-6</v>
      </c>
      <c r="HD22" s="549"/>
      <c r="HG22" s="549"/>
      <c r="HH22" s="549"/>
      <c r="HI22" s="549"/>
      <c r="HJ22" s="549"/>
      <c r="HK22" s="549"/>
      <c r="HL22" s="549"/>
      <c r="HM22" s="549"/>
      <c r="HP22" s="545">
        <f t="shared" si="122"/>
        <v>19</v>
      </c>
      <c r="HQ22" s="761">
        <f t="shared" si="72"/>
        <v>19</v>
      </c>
      <c r="HR22" s="655" t="s">
        <v>408</v>
      </c>
      <c r="HS22" s="656">
        <f t="shared" si="92"/>
        <v>1433.6216162937867</v>
      </c>
      <c r="HT22" s="756">
        <f t="shared" si="93"/>
        <v>206.19860600000001</v>
      </c>
      <c r="HU22" s="756">
        <v>233.030067</v>
      </c>
      <c r="HV22" s="647">
        <f t="shared" si="94"/>
        <v>-0.11514162676698703</v>
      </c>
      <c r="HW22" s="756">
        <f t="shared" si="95"/>
        <v>-26.83146099999999</v>
      </c>
      <c r="HX22" s="648">
        <v>10</v>
      </c>
      <c r="IO22" s="545">
        <v>19</v>
      </c>
      <c r="IP22" s="761">
        <v>19</v>
      </c>
      <c r="IQ22" s="655" t="s">
        <v>408</v>
      </c>
      <c r="IR22" s="769">
        <f t="shared" si="96"/>
        <v>2956.1077894152263</v>
      </c>
      <c r="IS22" s="770">
        <f t="shared" si="96"/>
        <v>1433.6216162937867</v>
      </c>
      <c r="IT22" s="771">
        <f t="shared" si="96"/>
        <v>206.19860600000001</v>
      </c>
      <c r="IU22" s="656">
        <f t="shared" si="97"/>
        <v>209.81803828384531</v>
      </c>
      <c r="IV22" s="656">
        <f t="shared" si="98"/>
        <v>1223.8035780099415</v>
      </c>
      <c r="IW22" s="769">
        <f t="shared" si="99"/>
        <v>3.1472705742576794</v>
      </c>
      <c r="IX22" s="769">
        <f t="shared" si="100"/>
        <v>2952.9605188409687</v>
      </c>
      <c r="IY22" s="550">
        <f t="shared" si="101"/>
        <v>205.97907322819199</v>
      </c>
      <c r="IZ22" s="550">
        <f>IY22+1.5</f>
        <v>207.47907322819199</v>
      </c>
      <c r="JA22" s="769">
        <f t="shared" si="103"/>
        <v>2956.1077894152263</v>
      </c>
      <c r="JB22" s="746">
        <f t="shared" si="104"/>
        <v>0.21953277180801933</v>
      </c>
      <c r="JF22" s="545">
        <f t="shared" si="123"/>
        <v>19</v>
      </c>
      <c r="JG22" s="761">
        <f t="shared" si="73"/>
        <v>19</v>
      </c>
      <c r="JH22" s="655" t="s">
        <v>408</v>
      </c>
      <c r="JI22" s="656">
        <f t="shared" si="105"/>
        <v>1433.6216162937867</v>
      </c>
      <c r="JJ22" s="756">
        <f t="shared" si="106"/>
        <v>205.97907322819199</v>
      </c>
      <c r="JK22" s="756">
        <v>232.80783427268813</v>
      </c>
      <c r="JL22" s="647">
        <f t="shared" si="126"/>
        <v>-0.11523994082205824</v>
      </c>
      <c r="JM22" s="756">
        <f t="shared" si="108"/>
        <v>-26.828761044496133</v>
      </c>
      <c r="JN22" s="648">
        <v>10</v>
      </c>
      <c r="JS22" s="756">
        <v>206.41586917383711</v>
      </c>
      <c r="JT22" s="756">
        <f t="shared" si="109"/>
        <v>-0.43679594564511603</v>
      </c>
      <c r="JU22" s="1009">
        <v>1476</v>
      </c>
      <c r="JV22" s="1009">
        <f t="shared" si="110"/>
        <v>42.378383706213299</v>
      </c>
      <c r="JW22" s="978">
        <f t="shared" si="124"/>
        <v>-2.1160967293520436E-3</v>
      </c>
      <c r="JX22" s="997">
        <v>3046.6982290058354</v>
      </c>
      <c r="JY22" s="997">
        <f t="shared" si="111"/>
        <v>2952.9605188409687</v>
      </c>
      <c r="JZ22" s="516"/>
      <c r="KA22" s="516"/>
      <c r="KB22" s="516"/>
      <c r="KC22" s="516"/>
      <c r="KE22" s="516"/>
      <c r="KF22" s="516"/>
    </row>
    <row r="23" spans="2:292" ht="16.5" x14ac:dyDescent="0.3">
      <c r="I23" s="222">
        <v>20</v>
      </c>
      <c r="J23" s="659">
        <f t="shared" si="1"/>
        <v>20</v>
      </c>
      <c r="K23" s="660" t="s">
        <v>409</v>
      </c>
      <c r="L23" s="991"/>
      <c r="M23" s="662">
        <f t="shared" si="2"/>
        <v>0</v>
      </c>
      <c r="N23" s="661">
        <v>798</v>
      </c>
      <c r="O23" s="661">
        <f t="shared" si="74"/>
        <v>0</v>
      </c>
      <c r="P23" s="662">
        <f t="shared" si="3"/>
        <v>0</v>
      </c>
      <c r="Q23" s="663" t="s">
        <v>384</v>
      </c>
      <c r="U23" s="551">
        <f t="shared" si="113"/>
        <v>20</v>
      </c>
      <c r="V23" s="670">
        <f t="shared" si="4"/>
        <v>20</v>
      </c>
      <c r="W23" s="660" t="s">
        <v>409</v>
      </c>
      <c r="X23" s="671">
        <f t="shared" si="75"/>
        <v>0</v>
      </c>
      <c r="Y23" s="662">
        <f t="shared" si="5"/>
        <v>0</v>
      </c>
      <c r="AC23" s="551">
        <f t="shared" si="114"/>
        <v>20</v>
      </c>
      <c r="AD23" s="681">
        <v>20</v>
      </c>
      <c r="AE23" s="682" t="s">
        <v>409</v>
      </c>
      <c r="AF23" s="683">
        <v>4.6900000000000004</v>
      </c>
      <c r="AP23" s="551">
        <f t="shared" si="77"/>
        <v>20</v>
      </c>
      <c r="AQ23" s="697">
        <f t="shared" si="6"/>
        <v>20</v>
      </c>
      <c r="AR23" s="660" t="s">
        <v>409</v>
      </c>
      <c r="AS23" s="660">
        <f t="shared" si="7"/>
        <v>4.6900000000000004</v>
      </c>
      <c r="AT23" s="698">
        <f t="shared" si="78"/>
        <v>0</v>
      </c>
      <c r="AU23" s="698">
        <f t="shared" si="115"/>
        <v>0</v>
      </c>
      <c r="AV23" s="699">
        <f t="shared" si="8"/>
        <v>0</v>
      </c>
      <c r="AW23" s="700">
        <f t="shared" si="9"/>
        <v>21.592508896755888</v>
      </c>
      <c r="AX23" s="671">
        <f t="shared" si="125"/>
        <v>0</v>
      </c>
      <c r="AY23" s="465">
        <f t="shared" si="79"/>
        <v>0</v>
      </c>
      <c r="AZ23" s="553">
        <f t="shared" si="10"/>
        <v>0</v>
      </c>
      <c r="BK23" s="222">
        <f t="shared" si="116"/>
        <v>20</v>
      </c>
      <c r="BL23" s="663">
        <f t="shared" si="11"/>
        <v>20</v>
      </c>
      <c r="BM23" s="660" t="s">
        <v>409</v>
      </c>
      <c r="BN23" s="662">
        <f t="shared" si="80"/>
        <v>0</v>
      </c>
      <c r="BO23" s="671">
        <f t="shared" si="81"/>
        <v>0</v>
      </c>
      <c r="BP23" s="662">
        <f t="shared" si="82"/>
        <v>0</v>
      </c>
      <c r="BQ23" s="671">
        <f t="shared" si="83"/>
        <v>0</v>
      </c>
      <c r="BR23" s="710">
        <f t="shared" si="12"/>
        <v>0</v>
      </c>
      <c r="BS23" s="711">
        <f t="shared" si="13"/>
        <v>0</v>
      </c>
      <c r="BV23" s="15"/>
      <c r="BW23" s="190"/>
      <c r="BX23" s="190"/>
      <c r="BY23" s="190"/>
      <c r="BZ23" s="190"/>
      <c r="CA23" s="190"/>
      <c r="CB23" s="190"/>
      <c r="CC23" s="190"/>
      <c r="CD23" s="190"/>
      <c r="CH23" s="222">
        <f t="shared" si="117"/>
        <v>20</v>
      </c>
      <c r="CI23" s="681">
        <f t="shared" si="15"/>
        <v>20</v>
      </c>
      <c r="CJ23" s="660" t="s">
        <v>409</v>
      </c>
      <c r="CK23" s="723">
        <f t="shared" si="16"/>
        <v>0</v>
      </c>
      <c r="CL23" s="650">
        <f t="shared" si="17"/>
        <v>0</v>
      </c>
      <c r="CM23" s="723">
        <f t="shared" si="18"/>
        <v>0</v>
      </c>
      <c r="CN23" s="650">
        <f t="shared" si="19"/>
        <v>0</v>
      </c>
      <c r="CO23" s="650">
        <f t="shared" si="20"/>
        <v>0</v>
      </c>
      <c r="CP23" s="723">
        <f t="shared" si="21"/>
        <v>0</v>
      </c>
      <c r="CQ23" s="724">
        <f t="shared" si="22"/>
        <v>0</v>
      </c>
      <c r="DD23" s="15"/>
      <c r="DG23" s="551">
        <f t="shared" si="118"/>
        <v>20</v>
      </c>
      <c r="DH23" s="677">
        <f t="shared" si="24"/>
        <v>20</v>
      </c>
      <c r="DI23" s="660" t="s">
        <v>409</v>
      </c>
      <c r="DJ23" s="723">
        <f t="shared" si="25"/>
        <v>0</v>
      </c>
      <c r="DK23" s="650">
        <f t="shared" si="84"/>
        <v>0</v>
      </c>
      <c r="DL23" s="723">
        <f t="shared" si="26"/>
        <v>0</v>
      </c>
      <c r="DM23" s="650">
        <f t="shared" si="27"/>
        <v>0</v>
      </c>
      <c r="DN23" s="723">
        <f t="shared" si="28"/>
        <v>0</v>
      </c>
      <c r="DO23" s="650">
        <f t="shared" si="29"/>
        <v>0</v>
      </c>
      <c r="DP23" s="650">
        <f t="shared" si="85"/>
        <v>0</v>
      </c>
      <c r="DQ23" s="723">
        <f t="shared" si="30"/>
        <v>0</v>
      </c>
      <c r="DR23" s="724">
        <f t="shared" si="31"/>
        <v>0</v>
      </c>
      <c r="DV23" s="551">
        <f t="shared" si="119"/>
        <v>20</v>
      </c>
      <c r="DW23" s="677">
        <f t="shared" si="32"/>
        <v>20</v>
      </c>
      <c r="DX23" s="660" t="s">
        <v>409</v>
      </c>
      <c r="DY23" s="723">
        <f t="shared" si="33"/>
        <v>0</v>
      </c>
      <c r="DZ23" s="650">
        <f t="shared" si="34"/>
        <v>0</v>
      </c>
      <c r="EA23" s="724">
        <f t="shared" si="35"/>
        <v>0</v>
      </c>
      <c r="EM23" s="551">
        <f t="shared" si="120"/>
        <v>20</v>
      </c>
      <c r="EN23" s="677">
        <f t="shared" si="36"/>
        <v>20</v>
      </c>
      <c r="EO23" s="660" t="s">
        <v>409</v>
      </c>
      <c r="EP23" s="723">
        <f t="shared" si="37"/>
        <v>0</v>
      </c>
      <c r="EQ23" s="650">
        <f t="shared" si="38"/>
        <v>0</v>
      </c>
      <c r="ER23" s="723">
        <f t="shared" si="39"/>
        <v>0</v>
      </c>
      <c r="ES23" s="650">
        <f t="shared" si="40"/>
        <v>0</v>
      </c>
      <c r="ET23" s="723">
        <f t="shared" si="41"/>
        <v>0</v>
      </c>
      <c r="EU23" s="650">
        <f t="shared" si="42"/>
        <v>0</v>
      </c>
      <c r="EV23" s="650">
        <f t="shared" si="43"/>
        <v>0</v>
      </c>
      <c r="EW23" s="723">
        <f t="shared" si="44"/>
        <v>0</v>
      </c>
      <c r="EX23" s="724">
        <f t="shared" si="45"/>
        <v>0</v>
      </c>
      <c r="FH23" s="551">
        <f t="shared" si="121"/>
        <v>20</v>
      </c>
      <c r="FI23" s="670">
        <f t="shared" si="46"/>
        <v>20</v>
      </c>
      <c r="FJ23" s="660" t="s">
        <v>409</v>
      </c>
      <c r="FK23" s="723">
        <f t="shared" si="47"/>
        <v>0</v>
      </c>
      <c r="FL23" s="650">
        <f t="shared" si="48"/>
        <v>0</v>
      </c>
      <c r="FM23" s="724">
        <f t="shared" si="49"/>
        <v>0</v>
      </c>
      <c r="FQ23" s="222">
        <v>20</v>
      </c>
      <c r="FR23" s="670">
        <v>20</v>
      </c>
      <c r="FS23" s="660" t="s">
        <v>409</v>
      </c>
      <c r="FT23" s="650">
        <f t="shared" si="50"/>
        <v>0</v>
      </c>
      <c r="FU23" s="650">
        <f t="shared" si="51"/>
        <v>0</v>
      </c>
      <c r="FV23" s="650">
        <f t="shared" si="52"/>
        <v>0</v>
      </c>
      <c r="FW23" s="650">
        <f t="shared" si="87"/>
        <v>0</v>
      </c>
      <c r="FX23" s="650">
        <f t="shared" si="53"/>
        <v>0</v>
      </c>
      <c r="FY23" s="650">
        <f t="shared" si="54"/>
        <v>0</v>
      </c>
      <c r="FZ23" s="650">
        <f t="shared" si="55"/>
        <v>0</v>
      </c>
      <c r="GA23" s="650">
        <f t="shared" si="56"/>
        <v>0</v>
      </c>
      <c r="GB23" s="747">
        <f t="shared" si="57"/>
        <v>0</v>
      </c>
      <c r="GF23" s="551">
        <f t="shared" si="88"/>
        <v>20</v>
      </c>
      <c r="GG23" s="670">
        <f t="shared" si="58"/>
        <v>20</v>
      </c>
      <c r="GH23" s="660" t="s">
        <v>409</v>
      </c>
      <c r="GI23" s="724">
        <f t="shared" si="59"/>
        <v>0</v>
      </c>
      <c r="GJ23" s="724">
        <f t="shared" si="60"/>
        <v>0</v>
      </c>
      <c r="GK23" s="724">
        <f t="shared" si="61"/>
        <v>0</v>
      </c>
      <c r="GL23" s="724">
        <f t="shared" si="62"/>
        <v>0</v>
      </c>
      <c r="GM23" s="724">
        <f t="shared" si="63"/>
        <v>0</v>
      </c>
      <c r="GN23" s="724">
        <f t="shared" si="64"/>
        <v>0</v>
      </c>
      <c r="GO23" s="724">
        <f t="shared" si="65"/>
        <v>0</v>
      </c>
      <c r="GP23" s="724">
        <f t="shared" si="66"/>
        <v>0</v>
      </c>
      <c r="GQ23" s="661">
        <f t="shared" si="89"/>
        <v>0</v>
      </c>
      <c r="GR23" s="530"/>
      <c r="GU23" s="222">
        <f t="shared" si="90"/>
        <v>20</v>
      </c>
      <c r="GV23" s="670">
        <f t="shared" si="67"/>
        <v>20</v>
      </c>
      <c r="GW23" s="660" t="s">
        <v>409</v>
      </c>
      <c r="GX23" s="663" t="s">
        <v>384</v>
      </c>
      <c r="GY23" s="671">
        <f t="shared" si="68"/>
        <v>0</v>
      </c>
      <c r="GZ23" s="661">
        <f t="shared" si="69"/>
        <v>0</v>
      </c>
      <c r="HA23" s="724">
        <f t="shared" si="91"/>
        <v>0</v>
      </c>
      <c r="HB23" s="650">
        <f t="shared" si="70"/>
        <v>0</v>
      </c>
      <c r="HC23" s="750">
        <f t="shared" si="71"/>
        <v>0</v>
      </c>
      <c r="HD23" s="549"/>
      <c r="HG23" s="549"/>
      <c r="HH23" s="549"/>
      <c r="HI23" s="549"/>
      <c r="HJ23" s="549"/>
      <c r="HK23" s="549"/>
      <c r="HL23" s="549"/>
      <c r="HM23" s="549"/>
      <c r="HP23" s="551">
        <f t="shared" si="122"/>
        <v>20</v>
      </c>
      <c r="HQ23" s="762">
        <f t="shared" si="72"/>
        <v>20</v>
      </c>
      <c r="HR23" s="660" t="s">
        <v>409</v>
      </c>
      <c r="HS23" s="661">
        <f t="shared" si="92"/>
        <v>0</v>
      </c>
      <c r="HT23" s="757">
        <f t="shared" si="93"/>
        <v>0</v>
      </c>
      <c r="HU23" s="757">
        <v>7.2849089999999999</v>
      </c>
      <c r="HV23" s="651">
        <f t="shared" si="94"/>
        <v>-1</v>
      </c>
      <c r="HW23" s="757">
        <f t="shared" si="95"/>
        <v>-7.2849089999999999</v>
      </c>
      <c r="HX23" s="652">
        <v>10</v>
      </c>
      <c r="IO23" s="551">
        <v>20</v>
      </c>
      <c r="IP23" s="762">
        <v>20</v>
      </c>
      <c r="IQ23" s="660" t="s">
        <v>409</v>
      </c>
      <c r="IR23" s="772">
        <f t="shared" si="96"/>
        <v>0</v>
      </c>
      <c r="IS23" s="773">
        <f t="shared" si="96"/>
        <v>0</v>
      </c>
      <c r="IT23" s="774">
        <f t="shared" si="96"/>
        <v>0</v>
      </c>
      <c r="IU23" s="991">
        <v>0</v>
      </c>
      <c r="IV23" s="661">
        <f t="shared" si="98"/>
        <v>0</v>
      </c>
      <c r="IW23" s="772">
        <f t="shared" si="99"/>
        <v>0</v>
      </c>
      <c r="IX23" s="772">
        <f t="shared" si="100"/>
        <v>0</v>
      </c>
      <c r="IY23" s="455">
        <f>IT23</f>
        <v>0</v>
      </c>
      <c r="IZ23" s="555">
        <f t="shared" ref="IZ23:IZ24" si="134">IY23</f>
        <v>0</v>
      </c>
      <c r="JA23" s="772">
        <f t="shared" si="103"/>
        <v>0</v>
      </c>
      <c r="JB23" s="778">
        <f t="shared" si="104"/>
        <v>0</v>
      </c>
      <c r="JF23" s="551">
        <f t="shared" si="123"/>
        <v>20</v>
      </c>
      <c r="JG23" s="762">
        <f t="shared" si="73"/>
        <v>20</v>
      </c>
      <c r="JH23" s="660" t="s">
        <v>409</v>
      </c>
      <c r="JI23" s="661">
        <f t="shared" si="105"/>
        <v>0</v>
      </c>
      <c r="JJ23" s="757">
        <f t="shared" si="106"/>
        <v>0</v>
      </c>
      <c r="JK23" s="757">
        <v>7.2849089999999999</v>
      </c>
      <c r="JL23" s="651">
        <f t="shared" si="126"/>
        <v>-1</v>
      </c>
      <c r="JM23" s="757">
        <f t="shared" si="108"/>
        <v>-7.2849089999999999</v>
      </c>
      <c r="JN23" s="652">
        <v>10</v>
      </c>
      <c r="JS23" s="757">
        <v>0</v>
      </c>
      <c r="JT23" s="757">
        <f t="shared" si="109"/>
        <v>0</v>
      </c>
      <c r="JU23" s="1010">
        <v>0</v>
      </c>
      <c r="JV23" s="1009">
        <f t="shared" si="110"/>
        <v>0</v>
      </c>
      <c r="JW23" s="978"/>
      <c r="JX23" s="997">
        <v>0</v>
      </c>
      <c r="JY23" s="997">
        <f t="shared" si="111"/>
        <v>0</v>
      </c>
      <c r="JZ23" s="516"/>
      <c r="KA23" s="516"/>
      <c r="KB23" s="516"/>
      <c r="KC23" s="516"/>
      <c r="KE23" s="516"/>
      <c r="KF23" s="516"/>
    </row>
    <row r="24" spans="2:292" ht="16.5" x14ac:dyDescent="0.3">
      <c r="I24" s="543">
        <v>21</v>
      </c>
      <c r="J24" s="654">
        <f t="shared" si="1"/>
        <v>21</v>
      </c>
      <c r="K24" s="655" t="s">
        <v>410</v>
      </c>
      <c r="L24" s="991"/>
      <c r="M24" s="657">
        <f t="shared" si="2"/>
        <v>0</v>
      </c>
      <c r="N24" s="656">
        <v>546</v>
      </c>
      <c r="O24" s="656">
        <f t="shared" si="74"/>
        <v>0</v>
      </c>
      <c r="P24" s="657">
        <f t="shared" si="3"/>
        <v>0</v>
      </c>
      <c r="Q24" s="658" t="s">
        <v>384</v>
      </c>
      <c r="U24" s="545">
        <f t="shared" si="113"/>
        <v>21</v>
      </c>
      <c r="V24" s="669">
        <f t="shared" si="4"/>
        <v>21</v>
      </c>
      <c r="W24" s="655" t="s">
        <v>410</v>
      </c>
      <c r="X24" s="646">
        <f t="shared" si="75"/>
        <v>0</v>
      </c>
      <c r="Y24" s="657">
        <f t="shared" si="5"/>
        <v>0</v>
      </c>
      <c r="AC24" s="545">
        <f t="shared" si="114"/>
        <v>21</v>
      </c>
      <c r="AD24" s="678">
        <v>21</v>
      </c>
      <c r="AE24" s="679" t="s">
        <v>410</v>
      </c>
      <c r="AF24" s="680">
        <v>5.0999999999999996</v>
      </c>
      <c r="AP24" s="545">
        <f t="shared" si="77"/>
        <v>21</v>
      </c>
      <c r="AQ24" s="693">
        <f t="shared" si="6"/>
        <v>21</v>
      </c>
      <c r="AR24" s="655" t="s">
        <v>410</v>
      </c>
      <c r="AS24" s="655">
        <f t="shared" si="7"/>
        <v>5.0999999999999996</v>
      </c>
      <c r="AT24" s="694">
        <f t="shared" si="78"/>
        <v>0</v>
      </c>
      <c r="AU24" s="694">
        <f t="shared" si="115"/>
        <v>0</v>
      </c>
      <c r="AV24" s="695">
        <f t="shared" si="8"/>
        <v>0</v>
      </c>
      <c r="AW24" s="696">
        <f t="shared" si="9"/>
        <v>21.592508896755888</v>
      </c>
      <c r="AX24" s="646">
        <f t="shared" si="125"/>
        <v>0</v>
      </c>
      <c r="AY24" s="544">
        <f t="shared" si="79"/>
        <v>0</v>
      </c>
      <c r="AZ24" s="548">
        <f t="shared" si="10"/>
        <v>0</v>
      </c>
      <c r="BK24" s="543">
        <f t="shared" si="116"/>
        <v>21</v>
      </c>
      <c r="BL24" s="658">
        <f t="shared" si="11"/>
        <v>21</v>
      </c>
      <c r="BM24" s="655" t="s">
        <v>410</v>
      </c>
      <c r="BN24" s="657">
        <f t="shared" si="80"/>
        <v>0</v>
      </c>
      <c r="BO24" s="646">
        <f t="shared" si="81"/>
        <v>0</v>
      </c>
      <c r="BP24" s="657">
        <f t="shared" si="82"/>
        <v>0</v>
      </c>
      <c r="BQ24" s="646">
        <f t="shared" si="83"/>
        <v>0</v>
      </c>
      <c r="BR24" s="708">
        <f t="shared" si="12"/>
        <v>0</v>
      </c>
      <c r="BS24" s="709">
        <f t="shared" si="13"/>
        <v>0</v>
      </c>
      <c r="BV24" s="15"/>
      <c r="BW24" s="190"/>
      <c r="BX24" s="190"/>
      <c r="BY24" s="190"/>
      <c r="BZ24" s="190"/>
      <c r="CA24" s="190"/>
      <c r="CB24" s="190"/>
      <c r="CC24" s="190"/>
      <c r="CD24" s="190"/>
      <c r="CH24" s="543">
        <f t="shared" si="117"/>
        <v>21</v>
      </c>
      <c r="CI24" s="678">
        <f t="shared" si="15"/>
        <v>21</v>
      </c>
      <c r="CJ24" s="655" t="s">
        <v>410</v>
      </c>
      <c r="CK24" s="657">
        <f t="shared" si="16"/>
        <v>0</v>
      </c>
      <c r="CL24" s="646">
        <f t="shared" si="17"/>
        <v>0</v>
      </c>
      <c r="CM24" s="657">
        <f t="shared" si="18"/>
        <v>0</v>
      </c>
      <c r="CN24" s="646">
        <f t="shared" si="19"/>
        <v>0</v>
      </c>
      <c r="CO24" s="646">
        <f t="shared" si="20"/>
        <v>0</v>
      </c>
      <c r="CP24" s="657">
        <f t="shared" si="21"/>
        <v>0</v>
      </c>
      <c r="CQ24" s="709">
        <f t="shared" si="22"/>
        <v>0</v>
      </c>
      <c r="DD24" s="15"/>
      <c r="DG24" s="545">
        <f t="shared" si="118"/>
        <v>21</v>
      </c>
      <c r="DH24" s="739">
        <f t="shared" si="24"/>
        <v>21</v>
      </c>
      <c r="DI24" s="655" t="s">
        <v>410</v>
      </c>
      <c r="DJ24" s="657">
        <f t="shared" si="25"/>
        <v>0</v>
      </c>
      <c r="DK24" s="646">
        <f t="shared" si="84"/>
        <v>0</v>
      </c>
      <c r="DL24" s="657">
        <f t="shared" si="26"/>
        <v>0</v>
      </c>
      <c r="DM24" s="646">
        <f t="shared" si="27"/>
        <v>0</v>
      </c>
      <c r="DN24" s="657">
        <f t="shared" si="28"/>
        <v>0</v>
      </c>
      <c r="DO24" s="646">
        <f t="shared" si="29"/>
        <v>0</v>
      </c>
      <c r="DP24" s="646">
        <f t="shared" si="85"/>
        <v>0</v>
      </c>
      <c r="DQ24" s="657">
        <f t="shared" si="30"/>
        <v>0</v>
      </c>
      <c r="DR24" s="709">
        <f t="shared" si="31"/>
        <v>0</v>
      </c>
      <c r="DV24" s="545">
        <f t="shared" si="119"/>
        <v>21</v>
      </c>
      <c r="DW24" s="739">
        <f t="shared" si="32"/>
        <v>21</v>
      </c>
      <c r="DX24" s="655" t="s">
        <v>410</v>
      </c>
      <c r="DY24" s="657">
        <f t="shared" si="33"/>
        <v>0</v>
      </c>
      <c r="DZ24" s="646">
        <f t="shared" si="34"/>
        <v>0</v>
      </c>
      <c r="EA24" s="709">
        <f t="shared" si="35"/>
        <v>0</v>
      </c>
      <c r="EM24" s="545">
        <f t="shared" si="120"/>
        <v>21</v>
      </c>
      <c r="EN24" s="739">
        <f t="shared" si="36"/>
        <v>21</v>
      </c>
      <c r="EO24" s="655" t="s">
        <v>410</v>
      </c>
      <c r="EP24" s="657">
        <f t="shared" si="37"/>
        <v>0</v>
      </c>
      <c r="EQ24" s="646">
        <f t="shared" si="38"/>
        <v>0</v>
      </c>
      <c r="ER24" s="657">
        <f t="shared" si="39"/>
        <v>0</v>
      </c>
      <c r="ES24" s="646">
        <f t="shared" si="40"/>
        <v>0</v>
      </c>
      <c r="ET24" s="657">
        <f t="shared" si="41"/>
        <v>0</v>
      </c>
      <c r="EU24" s="646">
        <f t="shared" si="42"/>
        <v>0</v>
      </c>
      <c r="EV24" s="646">
        <f t="shared" si="43"/>
        <v>0</v>
      </c>
      <c r="EW24" s="657">
        <f t="shared" si="44"/>
        <v>0</v>
      </c>
      <c r="EX24" s="709">
        <f t="shared" si="45"/>
        <v>0</v>
      </c>
      <c r="FH24" s="545">
        <f t="shared" si="121"/>
        <v>21</v>
      </c>
      <c r="FI24" s="669">
        <f t="shared" si="46"/>
        <v>21</v>
      </c>
      <c r="FJ24" s="655" t="s">
        <v>410</v>
      </c>
      <c r="FK24" s="657">
        <f t="shared" si="47"/>
        <v>0</v>
      </c>
      <c r="FL24" s="646">
        <f t="shared" si="48"/>
        <v>0</v>
      </c>
      <c r="FM24" s="709">
        <f t="shared" si="49"/>
        <v>0</v>
      </c>
      <c r="FQ24" s="543">
        <v>21</v>
      </c>
      <c r="FR24" s="669">
        <v>21</v>
      </c>
      <c r="FS24" s="655" t="s">
        <v>410</v>
      </c>
      <c r="FT24" s="646">
        <f t="shared" si="50"/>
        <v>0</v>
      </c>
      <c r="FU24" s="646">
        <f t="shared" si="51"/>
        <v>0</v>
      </c>
      <c r="FV24" s="646">
        <f t="shared" si="52"/>
        <v>0</v>
      </c>
      <c r="FW24" s="646">
        <f t="shared" si="87"/>
        <v>0</v>
      </c>
      <c r="FX24" s="646">
        <f t="shared" si="53"/>
        <v>0</v>
      </c>
      <c r="FY24" s="646">
        <f t="shared" si="54"/>
        <v>0</v>
      </c>
      <c r="FZ24" s="646">
        <f t="shared" si="55"/>
        <v>0</v>
      </c>
      <c r="GA24" s="646">
        <f t="shared" si="56"/>
        <v>0</v>
      </c>
      <c r="GB24" s="746">
        <f t="shared" si="57"/>
        <v>0</v>
      </c>
      <c r="GF24" s="545">
        <f t="shared" si="88"/>
        <v>21</v>
      </c>
      <c r="GG24" s="669">
        <f t="shared" si="58"/>
        <v>21</v>
      </c>
      <c r="GH24" s="655" t="s">
        <v>410</v>
      </c>
      <c r="GI24" s="709">
        <f t="shared" si="59"/>
        <v>0</v>
      </c>
      <c r="GJ24" s="709">
        <f t="shared" si="60"/>
        <v>0</v>
      </c>
      <c r="GK24" s="709">
        <f t="shared" si="61"/>
        <v>0</v>
      </c>
      <c r="GL24" s="709">
        <f t="shared" si="62"/>
        <v>0</v>
      </c>
      <c r="GM24" s="709">
        <f t="shared" si="63"/>
        <v>0</v>
      </c>
      <c r="GN24" s="709">
        <f t="shared" si="64"/>
        <v>0</v>
      </c>
      <c r="GO24" s="709">
        <f t="shared" si="65"/>
        <v>0</v>
      </c>
      <c r="GP24" s="709">
        <f t="shared" si="66"/>
        <v>0</v>
      </c>
      <c r="GQ24" s="656">
        <f t="shared" si="89"/>
        <v>0</v>
      </c>
      <c r="GR24" s="530"/>
      <c r="GU24" s="543">
        <f t="shared" si="90"/>
        <v>21</v>
      </c>
      <c r="GV24" s="669">
        <f t="shared" si="67"/>
        <v>21</v>
      </c>
      <c r="GW24" s="655" t="s">
        <v>410</v>
      </c>
      <c r="GX24" s="658" t="s">
        <v>384</v>
      </c>
      <c r="GY24" s="646">
        <f t="shared" si="68"/>
        <v>0</v>
      </c>
      <c r="GZ24" s="656">
        <f t="shared" si="69"/>
        <v>0</v>
      </c>
      <c r="HA24" s="709">
        <f t="shared" si="91"/>
        <v>0</v>
      </c>
      <c r="HB24" s="646">
        <f t="shared" si="70"/>
        <v>0</v>
      </c>
      <c r="HC24" s="749">
        <f t="shared" si="71"/>
        <v>0</v>
      </c>
      <c r="HD24" s="549"/>
      <c r="HG24" s="549"/>
      <c r="HH24" s="549"/>
      <c r="HI24" s="549"/>
      <c r="HJ24" s="549"/>
      <c r="HK24" s="549"/>
      <c r="HL24" s="549"/>
      <c r="HM24" s="549"/>
      <c r="HP24" s="545">
        <f t="shared" si="122"/>
        <v>21</v>
      </c>
      <c r="HQ24" s="761">
        <f t="shared" si="72"/>
        <v>21</v>
      </c>
      <c r="HR24" s="655" t="s">
        <v>410</v>
      </c>
      <c r="HS24" s="656">
        <f t="shared" si="92"/>
        <v>0</v>
      </c>
      <c r="HT24" s="756">
        <f t="shared" si="93"/>
        <v>0</v>
      </c>
      <c r="HU24" s="756">
        <v>8.3326989999999999</v>
      </c>
      <c r="HV24" s="647">
        <f t="shared" si="94"/>
        <v>-1</v>
      </c>
      <c r="HW24" s="756">
        <f t="shared" si="95"/>
        <v>-8.3326989999999999</v>
      </c>
      <c r="HX24" s="648">
        <v>10</v>
      </c>
      <c r="IO24" s="545">
        <v>21</v>
      </c>
      <c r="IP24" s="761">
        <v>21</v>
      </c>
      <c r="IQ24" s="655" t="s">
        <v>410</v>
      </c>
      <c r="IR24" s="769">
        <f t="shared" si="96"/>
        <v>0</v>
      </c>
      <c r="IS24" s="770">
        <f t="shared" si="96"/>
        <v>0</v>
      </c>
      <c r="IT24" s="771">
        <f t="shared" si="96"/>
        <v>0</v>
      </c>
      <c r="IU24" s="991">
        <v>0</v>
      </c>
      <c r="IV24" s="656">
        <f t="shared" si="98"/>
        <v>0</v>
      </c>
      <c r="IW24" s="769">
        <f t="shared" si="99"/>
        <v>0</v>
      </c>
      <c r="IX24" s="769">
        <f t="shared" si="100"/>
        <v>0</v>
      </c>
      <c r="IY24" s="550">
        <f>IT24</f>
        <v>0</v>
      </c>
      <c r="IZ24" s="550">
        <f t="shared" si="134"/>
        <v>0</v>
      </c>
      <c r="JA24" s="769">
        <f t="shared" si="103"/>
        <v>0</v>
      </c>
      <c r="JB24" s="746">
        <f t="shared" si="104"/>
        <v>0</v>
      </c>
      <c r="JF24" s="545">
        <f t="shared" si="123"/>
        <v>21</v>
      </c>
      <c r="JG24" s="761">
        <f t="shared" si="73"/>
        <v>21</v>
      </c>
      <c r="JH24" s="655" t="s">
        <v>410</v>
      </c>
      <c r="JI24" s="656">
        <f>L24</f>
        <v>0</v>
      </c>
      <c r="JJ24" s="756">
        <f t="shared" si="106"/>
        <v>0</v>
      </c>
      <c r="JK24" s="756">
        <v>8.3326989999999999</v>
      </c>
      <c r="JL24" s="647">
        <f t="shared" si="126"/>
        <v>-1</v>
      </c>
      <c r="JM24" s="756">
        <f t="shared" si="108"/>
        <v>-8.3326989999999999</v>
      </c>
      <c r="JN24" s="648">
        <v>10</v>
      </c>
      <c r="JS24" s="756">
        <v>0</v>
      </c>
      <c r="JT24" s="756">
        <f t="shared" si="109"/>
        <v>0</v>
      </c>
      <c r="JU24" s="1009">
        <v>0</v>
      </c>
      <c r="JV24" s="1009">
        <f t="shared" si="110"/>
        <v>0</v>
      </c>
      <c r="JW24" s="978"/>
      <c r="JX24" s="997">
        <v>0</v>
      </c>
      <c r="JY24" s="997">
        <f t="shared" si="111"/>
        <v>0</v>
      </c>
      <c r="JZ24" s="516"/>
      <c r="KA24" s="516"/>
      <c r="KB24" s="516"/>
      <c r="KC24" s="516"/>
      <c r="KE24" s="516"/>
      <c r="KF24" s="516"/>
    </row>
    <row r="25" spans="2:292" ht="16.5" x14ac:dyDescent="0.3">
      <c r="I25" s="222">
        <v>22</v>
      </c>
      <c r="J25" s="659">
        <f t="shared" si="1"/>
        <v>22</v>
      </c>
      <c r="K25" s="660" t="s">
        <v>411</v>
      </c>
      <c r="L25" s="991">
        <v>96087122.793333843</v>
      </c>
      <c r="M25" s="662">
        <f t="shared" si="2"/>
        <v>4.3784426137712336E-2</v>
      </c>
      <c r="N25" s="661">
        <v>1450</v>
      </c>
      <c r="O25" s="661">
        <f t="shared" si="74"/>
        <v>66266.981236781954</v>
      </c>
      <c r="P25" s="662">
        <f t="shared" si="3"/>
        <v>3.7183107989622391E-2</v>
      </c>
      <c r="Q25" s="663" t="s">
        <v>379</v>
      </c>
      <c r="U25" s="551">
        <f t="shared" si="113"/>
        <v>22</v>
      </c>
      <c r="V25" s="670">
        <f t="shared" si="4"/>
        <v>22</v>
      </c>
      <c r="W25" s="660" t="s">
        <v>411</v>
      </c>
      <c r="X25" s="671">
        <f t="shared" si="75"/>
        <v>4490939.8224640926</v>
      </c>
      <c r="Y25" s="662">
        <f t="shared" si="5"/>
        <v>4.6429206339954239E-2</v>
      </c>
      <c r="AC25" s="551">
        <f t="shared" si="114"/>
        <v>22</v>
      </c>
      <c r="AD25" s="681">
        <v>22</v>
      </c>
      <c r="AE25" s="682" t="s">
        <v>411</v>
      </c>
      <c r="AF25" s="683">
        <v>3.68</v>
      </c>
      <c r="AP25" s="551">
        <f t="shared" si="77"/>
        <v>22</v>
      </c>
      <c r="AQ25" s="697">
        <f t="shared" si="6"/>
        <v>22</v>
      </c>
      <c r="AR25" s="660" t="s">
        <v>411</v>
      </c>
      <c r="AS25" s="660">
        <f t="shared" si="7"/>
        <v>3.68</v>
      </c>
      <c r="AT25" s="698">
        <f t="shared" si="78"/>
        <v>96087122.793333843</v>
      </c>
      <c r="AU25" s="698">
        <f t="shared" si="115"/>
        <v>98222.392188741273</v>
      </c>
      <c r="AV25" s="699">
        <f t="shared" si="8"/>
        <v>101432.94367322804</v>
      </c>
      <c r="AW25" s="700">
        <f t="shared" si="9"/>
        <v>21.592508896755888</v>
      </c>
      <c r="AX25" s="671">
        <f t="shared" si="125"/>
        <v>2190191.7386883153</v>
      </c>
      <c r="AY25" s="465">
        <f t="shared" si="79"/>
        <v>5.2056364418439166E-2</v>
      </c>
      <c r="AZ25" s="553">
        <f t="shared" si="10"/>
        <v>2.2793809999999999</v>
      </c>
      <c r="BK25" s="222">
        <f t="shared" si="116"/>
        <v>22</v>
      </c>
      <c r="BL25" s="663">
        <f t="shared" si="11"/>
        <v>22</v>
      </c>
      <c r="BM25" s="660" t="s">
        <v>411</v>
      </c>
      <c r="BN25" s="662">
        <f t="shared" si="80"/>
        <v>5.2056364418439166E-2</v>
      </c>
      <c r="BO25" s="671">
        <f t="shared" si="81"/>
        <v>499049.41967941681</v>
      </c>
      <c r="BP25" s="662">
        <f t="shared" si="82"/>
        <v>4.3784426137712336E-2</v>
      </c>
      <c r="BQ25" s="671">
        <f t="shared" si="83"/>
        <v>419748.72235376108</v>
      </c>
      <c r="BR25" s="710">
        <f t="shared" si="12"/>
        <v>918798.14203317789</v>
      </c>
      <c r="BS25" s="711">
        <f t="shared" si="13"/>
        <v>0.95621400000000001</v>
      </c>
      <c r="BV25" s="15"/>
      <c r="BW25" s="190"/>
      <c r="BX25" s="190"/>
      <c r="BY25" s="190"/>
      <c r="BZ25" s="190"/>
      <c r="CA25" s="190"/>
      <c r="CB25" s="190"/>
      <c r="CC25" s="190"/>
      <c r="CD25" s="190"/>
      <c r="CH25" s="222">
        <f t="shared" si="117"/>
        <v>22</v>
      </c>
      <c r="CI25" s="681">
        <f t="shared" si="15"/>
        <v>22</v>
      </c>
      <c r="CJ25" s="660" t="s">
        <v>411</v>
      </c>
      <c r="CK25" s="723">
        <f t="shared" si="16"/>
        <v>4.3784426137712336E-2</v>
      </c>
      <c r="CL25" s="650">
        <f t="shared" si="17"/>
        <v>256652.86851501977</v>
      </c>
      <c r="CM25" s="723">
        <f t="shared" si="18"/>
        <v>3.7183107989622391E-2</v>
      </c>
      <c r="CN25" s="650">
        <f t="shared" si="19"/>
        <v>714361.05088396848</v>
      </c>
      <c r="CO25" s="650">
        <f t="shared" si="20"/>
        <v>971013.91939898825</v>
      </c>
      <c r="CP25" s="723">
        <f t="shared" si="21"/>
        <v>3.8726365536382819E-2</v>
      </c>
      <c r="CQ25" s="724">
        <f t="shared" si="22"/>
        <v>1.010556</v>
      </c>
      <c r="DD25" s="15"/>
      <c r="DG25" s="551">
        <f t="shared" si="118"/>
        <v>22</v>
      </c>
      <c r="DH25" s="677">
        <f t="shared" si="24"/>
        <v>22</v>
      </c>
      <c r="DI25" s="660" t="s">
        <v>411</v>
      </c>
      <c r="DJ25" s="723">
        <f t="shared" si="25"/>
        <v>3.8726365536382819E-2</v>
      </c>
      <c r="DK25" s="650">
        <f t="shared" si="84"/>
        <v>14588.017986840172</v>
      </c>
      <c r="DL25" s="723">
        <f t="shared" si="26"/>
        <v>3.7183107989622391E-2</v>
      </c>
      <c r="DM25" s="650">
        <f t="shared" si="27"/>
        <v>91029.287017249386</v>
      </c>
      <c r="DN25" s="723">
        <f t="shared" si="28"/>
        <v>4.3784426137712336E-2</v>
      </c>
      <c r="DO25" s="650">
        <f t="shared" si="29"/>
        <v>155384.97427463377</v>
      </c>
      <c r="DP25" s="650">
        <f t="shared" si="85"/>
        <v>261002.27927872335</v>
      </c>
      <c r="DQ25" s="723">
        <f t="shared" si="30"/>
        <v>4.0949921463864516E-2</v>
      </c>
      <c r="DR25" s="724">
        <f t="shared" si="31"/>
        <v>0.27163100000000001</v>
      </c>
      <c r="DV25" s="551">
        <f t="shared" si="119"/>
        <v>22</v>
      </c>
      <c r="DW25" s="677">
        <f t="shared" si="32"/>
        <v>22</v>
      </c>
      <c r="DX25" s="660" t="s">
        <v>411</v>
      </c>
      <c r="DY25" s="723">
        <f t="shared" si="33"/>
        <v>3.7183107989622391E-2</v>
      </c>
      <c r="DZ25" s="650">
        <f t="shared" si="34"/>
        <v>149933.74306488741</v>
      </c>
      <c r="EA25" s="724">
        <f t="shared" si="35"/>
        <v>0.15603900000000001</v>
      </c>
      <c r="EM25" s="551">
        <f t="shared" si="120"/>
        <v>22</v>
      </c>
      <c r="EN25" s="677">
        <f t="shared" si="36"/>
        <v>22</v>
      </c>
      <c r="EO25" s="660" t="s">
        <v>411</v>
      </c>
      <c r="EP25" s="723">
        <f t="shared" si="37"/>
        <v>4.6429206339954239E-2</v>
      </c>
      <c r="EQ25" s="650">
        <f t="shared" si="38"/>
        <v>365005.75622109359</v>
      </c>
      <c r="ER25" s="723">
        <f t="shared" si="39"/>
        <v>3.8726365536382819E-2</v>
      </c>
      <c r="ES25" s="650">
        <f t="shared" si="40"/>
        <v>39299.324338708335</v>
      </c>
      <c r="ET25" s="723">
        <f t="shared" si="41"/>
        <v>4.3784426137712336E-2</v>
      </c>
      <c r="EU25" s="650">
        <f t="shared" si="42"/>
        <v>188091.11288103464</v>
      </c>
      <c r="EV25" s="650">
        <f t="shared" si="43"/>
        <v>592396.19344083651</v>
      </c>
      <c r="EW25" s="723">
        <f t="shared" si="44"/>
        <v>4.4973232546320727E-2</v>
      </c>
      <c r="EX25" s="724">
        <f t="shared" si="45"/>
        <v>0.61651999999999996</v>
      </c>
      <c r="FH25" s="551">
        <f t="shared" si="121"/>
        <v>22</v>
      </c>
      <c r="FI25" s="670">
        <f t="shared" si="46"/>
        <v>22</v>
      </c>
      <c r="FJ25" s="660" t="s">
        <v>411</v>
      </c>
      <c r="FK25" s="723">
        <f t="shared" si="47"/>
        <v>4.6429206339954239E-2</v>
      </c>
      <c r="FL25" s="650">
        <f t="shared" si="48"/>
        <v>915664.70377873001</v>
      </c>
      <c r="FM25" s="724">
        <f t="shared" si="49"/>
        <v>0.95295300000000005</v>
      </c>
      <c r="FQ25" s="222">
        <v>22</v>
      </c>
      <c r="FR25" s="670">
        <v>22</v>
      </c>
      <c r="FS25" s="660" t="s">
        <v>411</v>
      </c>
      <c r="FT25" s="650">
        <f t="shared" si="50"/>
        <v>2190191.7386883153</v>
      </c>
      <c r="FU25" s="650">
        <f t="shared" si="51"/>
        <v>918798.14203317789</v>
      </c>
      <c r="FV25" s="650">
        <f t="shared" si="52"/>
        <v>971013.91939898825</v>
      </c>
      <c r="FW25" s="650">
        <f t="shared" si="87"/>
        <v>261002.27927872335</v>
      </c>
      <c r="FX25" s="650">
        <f t="shared" si="53"/>
        <v>149933.74306488741</v>
      </c>
      <c r="FY25" s="650">
        <f t="shared" si="54"/>
        <v>592396.19344083651</v>
      </c>
      <c r="FZ25" s="650">
        <f t="shared" si="55"/>
        <v>915664.70377873001</v>
      </c>
      <c r="GA25" s="650">
        <f t="shared" ref="GA25:GA27" si="135">SUM(FT25:FZ25)</f>
        <v>5999000.7196836593</v>
      </c>
      <c r="GB25" s="747">
        <f t="shared" si="57"/>
        <v>6.2432930000000004</v>
      </c>
      <c r="GF25" s="551">
        <f t="shared" si="88"/>
        <v>22</v>
      </c>
      <c r="GG25" s="670">
        <f t="shared" si="58"/>
        <v>22</v>
      </c>
      <c r="GH25" s="660" t="s">
        <v>411</v>
      </c>
      <c r="GI25" s="724">
        <f t="shared" si="59"/>
        <v>2.2793809999999999</v>
      </c>
      <c r="GJ25" s="724">
        <f t="shared" si="60"/>
        <v>0.95621400000000001</v>
      </c>
      <c r="GK25" s="724">
        <f t="shared" si="61"/>
        <v>1.010556</v>
      </c>
      <c r="GL25" s="724">
        <f t="shared" si="62"/>
        <v>0.27163100000000001</v>
      </c>
      <c r="GM25" s="724">
        <f t="shared" si="63"/>
        <v>0.15603900000000001</v>
      </c>
      <c r="GN25" s="724">
        <f t="shared" si="64"/>
        <v>0.61651999999999996</v>
      </c>
      <c r="GO25" s="724">
        <f t="shared" si="65"/>
        <v>0.95295300000000005</v>
      </c>
      <c r="GP25" s="724">
        <f t="shared" si="66"/>
        <v>6.2432930000000004</v>
      </c>
      <c r="GQ25" s="661">
        <f t="shared" si="89"/>
        <v>96087122.793333843</v>
      </c>
      <c r="GR25" s="530"/>
      <c r="GU25" s="222">
        <f t="shared" si="90"/>
        <v>22</v>
      </c>
      <c r="GV25" s="670">
        <f t="shared" si="67"/>
        <v>22</v>
      </c>
      <c r="GW25" s="660" t="s">
        <v>411</v>
      </c>
      <c r="GX25" s="663" t="s">
        <v>379</v>
      </c>
      <c r="GY25" s="671">
        <f t="shared" si="68"/>
        <v>5999000.7196836593</v>
      </c>
      <c r="GZ25" s="661">
        <f t="shared" si="69"/>
        <v>96087122.793333843</v>
      </c>
      <c r="HA25" s="724">
        <f t="shared" si="91"/>
        <v>6.2432930000000004</v>
      </c>
      <c r="HB25" s="650">
        <f t="shared" si="70"/>
        <v>5999000.6112576164</v>
      </c>
      <c r="HC25" s="750">
        <f t="shared" si="71"/>
        <v>-0.10842604283243418</v>
      </c>
      <c r="HD25" s="549"/>
      <c r="HG25" s="549"/>
      <c r="HH25" s="549"/>
      <c r="HI25" s="549"/>
      <c r="HJ25" s="549"/>
      <c r="HK25" s="549"/>
      <c r="HL25" s="549"/>
      <c r="HM25" s="549"/>
      <c r="HP25" s="551">
        <f t="shared" si="122"/>
        <v>22</v>
      </c>
      <c r="HQ25" s="762">
        <f t="shared" si="72"/>
        <v>22</v>
      </c>
      <c r="HR25" s="660" t="s">
        <v>411</v>
      </c>
      <c r="HS25" s="661">
        <f t="shared" si="92"/>
        <v>96087122.793333843</v>
      </c>
      <c r="HT25" s="757">
        <f t="shared" si="93"/>
        <v>6.2432930000000004</v>
      </c>
      <c r="HU25" s="757">
        <v>5.4577720000000003</v>
      </c>
      <c r="HV25" s="651">
        <f t="shared" si="94"/>
        <v>0.14392704568824066</v>
      </c>
      <c r="HW25" s="757">
        <f t="shared" si="95"/>
        <v>0.78552100000000014</v>
      </c>
      <c r="HX25" s="652">
        <v>10</v>
      </c>
      <c r="IO25" s="551">
        <v>22</v>
      </c>
      <c r="IP25" s="762">
        <v>22</v>
      </c>
      <c r="IQ25" s="660" t="s">
        <v>411</v>
      </c>
      <c r="IR25" s="772">
        <f t="shared" si="96"/>
        <v>5999000.7196836593</v>
      </c>
      <c r="IS25" s="773">
        <f t="shared" si="96"/>
        <v>96087122.793333843</v>
      </c>
      <c r="IT25" s="774">
        <f t="shared" si="96"/>
        <v>6.2432930000000004</v>
      </c>
      <c r="IU25" s="661">
        <f t="shared" si="97"/>
        <v>14062854.089042129</v>
      </c>
      <c r="IV25" s="661">
        <f t="shared" si="98"/>
        <v>82024268.704291716</v>
      </c>
      <c r="IW25" s="772">
        <f t="shared" si="99"/>
        <v>210942.81133563194</v>
      </c>
      <c r="IX25" s="772">
        <f t="shared" si="100"/>
        <v>5788057.9083480276</v>
      </c>
      <c r="IY25" s="455">
        <f t="shared" si="101"/>
        <v>6.0237602501607856</v>
      </c>
      <c r="IZ25" s="455">
        <f>IY25+1.5</f>
        <v>7.5237602501607856</v>
      </c>
      <c r="JA25" s="772">
        <f t="shared" si="103"/>
        <v>5999000.7196836602</v>
      </c>
      <c r="JB25" s="747">
        <f t="shared" si="104"/>
        <v>0.21953274983921478</v>
      </c>
      <c r="JF25" s="551">
        <f t="shared" si="123"/>
        <v>22</v>
      </c>
      <c r="JG25" s="762">
        <f t="shared" si="73"/>
        <v>22</v>
      </c>
      <c r="JH25" s="660" t="s">
        <v>411</v>
      </c>
      <c r="JI25" s="661">
        <f t="shared" si="105"/>
        <v>96087122.793333843</v>
      </c>
      <c r="JJ25" s="757">
        <f t="shared" si="106"/>
        <v>6.0237602501607856</v>
      </c>
      <c r="JK25" s="757">
        <v>5.2355386918523079</v>
      </c>
      <c r="JL25" s="651">
        <f t="shared" si="126"/>
        <v>0.15055214080169632</v>
      </c>
      <c r="JM25" s="757">
        <f t="shared" si="108"/>
        <v>0.78822155830847773</v>
      </c>
      <c r="JN25" s="652">
        <v>10</v>
      </c>
      <c r="JS25" s="757">
        <v>6.0364948878303935</v>
      </c>
      <c r="JT25" s="757"/>
      <c r="JU25" s="1010">
        <v>95127152</v>
      </c>
      <c r="JV25" s="1009">
        <f t="shared" si="110"/>
        <v>-959970.79333384335</v>
      </c>
      <c r="JW25" s="978">
        <f t="shared" si="124"/>
        <v>0</v>
      </c>
      <c r="JX25" s="997">
        <v>5742345.6674186476</v>
      </c>
      <c r="JY25" s="997">
        <f t="shared" si="111"/>
        <v>5788057.9083480276</v>
      </c>
      <c r="JZ25" s="516"/>
      <c r="KA25" s="516"/>
      <c r="KB25" s="516"/>
      <c r="KC25" s="516"/>
      <c r="KE25" s="516"/>
      <c r="KF25" s="516"/>
    </row>
    <row r="26" spans="2:292" ht="16.5" x14ac:dyDescent="0.3">
      <c r="I26" s="543">
        <v>23</v>
      </c>
      <c r="J26" s="654">
        <f t="shared" si="1"/>
        <v>23</v>
      </c>
      <c r="K26" s="655" t="s">
        <v>412</v>
      </c>
      <c r="L26" s="991">
        <v>596722.42296262318</v>
      </c>
      <c r="M26" s="657">
        <f t="shared" si="2"/>
        <v>2.7191103337664217E-4</v>
      </c>
      <c r="N26" s="656">
        <v>243</v>
      </c>
      <c r="O26" s="656">
        <f t="shared" si="74"/>
        <v>2455.6478311219062</v>
      </c>
      <c r="P26" s="657">
        <f t="shared" si="3"/>
        <v>1.3778901163888592E-3</v>
      </c>
      <c r="Q26" s="658" t="s">
        <v>379</v>
      </c>
      <c r="U26" s="545">
        <f t="shared" si="113"/>
        <v>23</v>
      </c>
      <c r="V26" s="669">
        <f t="shared" si="4"/>
        <v>23</v>
      </c>
      <c r="W26" s="655" t="s">
        <v>412</v>
      </c>
      <c r="X26" s="646">
        <f t="shared" si="75"/>
        <v>86416.514492411341</v>
      </c>
      <c r="Y26" s="657">
        <f t="shared" si="5"/>
        <v>8.9340991889451935E-4</v>
      </c>
      <c r="AC26" s="545">
        <f t="shared" si="114"/>
        <v>23</v>
      </c>
      <c r="AD26" s="678">
        <v>23</v>
      </c>
      <c r="AE26" s="679" t="s">
        <v>412</v>
      </c>
      <c r="AF26" s="680">
        <v>10.01</v>
      </c>
      <c r="AP26" s="545">
        <f t="shared" si="77"/>
        <v>23</v>
      </c>
      <c r="AQ26" s="693">
        <f t="shared" si="6"/>
        <v>23</v>
      </c>
      <c r="AR26" s="655" t="s">
        <v>412</v>
      </c>
      <c r="AS26" s="655">
        <f t="shared" si="7"/>
        <v>10.01</v>
      </c>
      <c r="AT26" s="694">
        <f t="shared" si="78"/>
        <v>596722.42296262318</v>
      </c>
      <c r="AU26" s="694">
        <f t="shared" si="115"/>
        <v>1659.219848293294</v>
      </c>
      <c r="AV26" s="695">
        <f t="shared" si="8"/>
        <v>1713.4540267563041</v>
      </c>
      <c r="AW26" s="696">
        <f t="shared" si="9"/>
        <v>21.592508896755888</v>
      </c>
      <c r="AX26" s="646">
        <f t="shared" si="125"/>
        <v>36997.771316917693</v>
      </c>
      <c r="AY26" s="544">
        <f t="shared" si="79"/>
        <v>8.7936112273758642E-4</v>
      </c>
      <c r="AZ26" s="548">
        <f t="shared" si="10"/>
        <v>6.200164</v>
      </c>
      <c r="BK26" s="543">
        <f t="shared" si="116"/>
        <v>23</v>
      </c>
      <c r="BL26" s="658">
        <f t="shared" si="11"/>
        <v>23</v>
      </c>
      <c r="BM26" s="655" t="s">
        <v>412</v>
      </c>
      <c r="BN26" s="657">
        <f t="shared" si="80"/>
        <v>8.7936112273758642E-4</v>
      </c>
      <c r="BO26" s="646">
        <f t="shared" si="81"/>
        <v>8430.1826086684487</v>
      </c>
      <c r="BP26" s="657">
        <f t="shared" si="82"/>
        <v>2.7191103337664217E-4</v>
      </c>
      <c r="BQ26" s="646">
        <f t="shared" si="83"/>
        <v>2606.7330080964666</v>
      </c>
      <c r="BR26" s="708">
        <f t="shared" si="12"/>
        <v>11036.915616764916</v>
      </c>
      <c r="BS26" s="709">
        <f t="shared" si="13"/>
        <v>1.8495900000000001</v>
      </c>
      <c r="BV26" s="15"/>
      <c r="BW26" s="190"/>
      <c r="BX26" s="190"/>
      <c r="BY26" s="190"/>
      <c r="BZ26" s="190"/>
      <c r="CA26" s="190"/>
      <c r="CB26" s="190"/>
      <c r="CC26" s="190"/>
      <c r="CD26" s="190"/>
      <c r="CH26" s="543">
        <f t="shared" si="117"/>
        <v>23</v>
      </c>
      <c r="CI26" s="678">
        <f t="shared" si="15"/>
        <v>23</v>
      </c>
      <c r="CJ26" s="655" t="s">
        <v>412</v>
      </c>
      <c r="CK26" s="657">
        <f t="shared" si="16"/>
        <v>2.7191103337664217E-4</v>
      </c>
      <c r="CL26" s="646">
        <f t="shared" si="17"/>
        <v>1593.8714482063265</v>
      </c>
      <c r="CM26" s="657">
        <f t="shared" si="18"/>
        <v>1.3778901163888592E-3</v>
      </c>
      <c r="CN26" s="646">
        <f t="shared" si="19"/>
        <v>26471.994536360304</v>
      </c>
      <c r="CO26" s="646">
        <f t="shared" si="20"/>
        <v>28065.86598456663</v>
      </c>
      <c r="CP26" s="657">
        <f t="shared" si="21"/>
        <v>1.1193340934661296E-3</v>
      </c>
      <c r="CQ26" s="709">
        <f t="shared" si="22"/>
        <v>4.7033370000000003</v>
      </c>
      <c r="DD26" s="15"/>
      <c r="DG26" s="545">
        <f t="shared" si="118"/>
        <v>23</v>
      </c>
      <c r="DH26" s="739">
        <f t="shared" si="24"/>
        <v>23</v>
      </c>
      <c r="DI26" s="655" t="s">
        <v>412</v>
      </c>
      <c r="DJ26" s="657">
        <f t="shared" si="25"/>
        <v>1.1193340934661296E-3</v>
      </c>
      <c r="DK26" s="646">
        <f t="shared" si="84"/>
        <v>421.64725924064891</v>
      </c>
      <c r="DL26" s="657">
        <f t="shared" si="26"/>
        <v>1.3778901163888592E-3</v>
      </c>
      <c r="DM26" s="646">
        <f t="shared" si="27"/>
        <v>3373.2617219087501</v>
      </c>
      <c r="DN26" s="657">
        <f t="shared" si="28"/>
        <v>2.7191103337664217E-4</v>
      </c>
      <c r="DO26" s="646">
        <f t="shared" si="29"/>
        <v>964.97528124108851</v>
      </c>
      <c r="DP26" s="646">
        <f t="shared" si="85"/>
        <v>4759.8842623904875</v>
      </c>
      <c r="DQ26" s="657">
        <f t="shared" si="30"/>
        <v>7.4680147338416212E-4</v>
      </c>
      <c r="DR26" s="709">
        <f t="shared" si="31"/>
        <v>0.79767100000000002</v>
      </c>
      <c r="DV26" s="545">
        <f t="shared" si="119"/>
        <v>23</v>
      </c>
      <c r="DW26" s="739">
        <f t="shared" si="32"/>
        <v>23</v>
      </c>
      <c r="DX26" s="655" t="s">
        <v>412</v>
      </c>
      <c r="DY26" s="657">
        <f t="shared" si="33"/>
        <v>1.3778901163888592E-3</v>
      </c>
      <c r="DZ26" s="646">
        <f t="shared" si="34"/>
        <v>5556.0773117716199</v>
      </c>
      <c r="EA26" s="709">
        <f t="shared" si="35"/>
        <v>0.93109900000000001</v>
      </c>
      <c r="EM26" s="545">
        <f t="shared" si="120"/>
        <v>23</v>
      </c>
      <c r="EN26" s="739">
        <f t="shared" si="36"/>
        <v>23</v>
      </c>
      <c r="EO26" s="655" t="s">
        <v>412</v>
      </c>
      <c r="EP26" s="657">
        <f t="shared" si="37"/>
        <v>8.9340991889451935E-4</v>
      </c>
      <c r="EQ26" s="646">
        <f t="shared" si="38"/>
        <v>7023.5911566917675</v>
      </c>
      <c r="ER26" s="657">
        <f t="shared" si="39"/>
        <v>1.1193340934661296E-3</v>
      </c>
      <c r="ES26" s="646">
        <f t="shared" si="40"/>
        <v>1135.8947056669299</v>
      </c>
      <c r="ET26" s="657">
        <f t="shared" si="41"/>
        <v>2.7191103337664217E-4</v>
      </c>
      <c r="EU26" s="646">
        <f t="shared" si="42"/>
        <v>1168.0876828574776</v>
      </c>
      <c r="EV26" s="646">
        <f t="shared" si="43"/>
        <v>9327.5735452161753</v>
      </c>
      <c r="EW26" s="657">
        <f t="shared" si="44"/>
        <v>7.0812597850328945E-4</v>
      </c>
      <c r="EX26" s="709">
        <f t="shared" si="45"/>
        <v>1.563134</v>
      </c>
      <c r="FH26" s="545">
        <f t="shared" si="121"/>
        <v>23</v>
      </c>
      <c r="FI26" s="669">
        <f t="shared" si="46"/>
        <v>23</v>
      </c>
      <c r="FJ26" s="655" t="s">
        <v>412</v>
      </c>
      <c r="FK26" s="657">
        <f t="shared" si="47"/>
        <v>8.9340991889451935E-4</v>
      </c>
      <c r="FL26" s="646">
        <f>Y26*$FL$28</f>
        <v>17619.597516866266</v>
      </c>
      <c r="FM26" s="709">
        <f t="shared" si="49"/>
        <v>2.9527290000000002</v>
      </c>
      <c r="FQ26" s="543">
        <v>23</v>
      </c>
      <c r="FR26" s="669">
        <v>23</v>
      </c>
      <c r="FS26" s="655" t="s">
        <v>412</v>
      </c>
      <c r="FT26" s="646">
        <f t="shared" si="50"/>
        <v>36997.771316917693</v>
      </c>
      <c r="FU26" s="646">
        <f t="shared" si="51"/>
        <v>11036.915616764916</v>
      </c>
      <c r="FV26" s="646">
        <f t="shared" si="52"/>
        <v>28065.86598456663</v>
      </c>
      <c r="FW26" s="646">
        <f t="shared" si="87"/>
        <v>4759.8842623904875</v>
      </c>
      <c r="FX26" s="646">
        <f t="shared" si="53"/>
        <v>5556.0773117716199</v>
      </c>
      <c r="FY26" s="646">
        <f t="shared" si="54"/>
        <v>9327.5735452161753</v>
      </c>
      <c r="FZ26" s="646">
        <f t="shared" si="55"/>
        <v>17619.597516866266</v>
      </c>
      <c r="GA26" s="646">
        <f t="shared" si="135"/>
        <v>113363.68555449379</v>
      </c>
      <c r="GB26" s="746">
        <f t="shared" si="57"/>
        <v>18.997724999999999</v>
      </c>
      <c r="GF26" s="545">
        <f t="shared" si="88"/>
        <v>23</v>
      </c>
      <c r="GG26" s="669">
        <f t="shared" si="58"/>
        <v>23</v>
      </c>
      <c r="GH26" s="655" t="s">
        <v>412</v>
      </c>
      <c r="GI26" s="709">
        <f t="shared" si="59"/>
        <v>6.200164</v>
      </c>
      <c r="GJ26" s="709">
        <f t="shared" si="60"/>
        <v>1.8495900000000001</v>
      </c>
      <c r="GK26" s="709">
        <f t="shared" si="61"/>
        <v>4.7033370000000003</v>
      </c>
      <c r="GL26" s="709">
        <f t="shared" si="62"/>
        <v>0.79767100000000002</v>
      </c>
      <c r="GM26" s="709">
        <f t="shared" si="63"/>
        <v>0.93109900000000001</v>
      </c>
      <c r="GN26" s="709">
        <f t="shared" si="64"/>
        <v>1.563134</v>
      </c>
      <c r="GO26" s="709">
        <f t="shared" si="65"/>
        <v>2.9527290000000002</v>
      </c>
      <c r="GP26" s="709">
        <f t="shared" si="66"/>
        <v>18.997724999999999</v>
      </c>
      <c r="GQ26" s="656">
        <f t="shared" si="89"/>
        <v>596722.42296262318</v>
      </c>
      <c r="GR26" s="530"/>
      <c r="GU26" s="543">
        <f t="shared" si="90"/>
        <v>23</v>
      </c>
      <c r="GV26" s="669">
        <f t="shared" si="67"/>
        <v>23</v>
      </c>
      <c r="GW26" s="655" t="s">
        <v>412</v>
      </c>
      <c r="GX26" s="658" t="s">
        <v>379</v>
      </c>
      <c r="GY26" s="646">
        <f t="shared" si="68"/>
        <v>113363.68555449379</v>
      </c>
      <c r="GZ26" s="656">
        <f t="shared" si="69"/>
        <v>596722.42296262318</v>
      </c>
      <c r="HA26" s="709">
        <f t="shared" si="91"/>
        <v>18.997724999999999</v>
      </c>
      <c r="HB26" s="646">
        <f t="shared" si="70"/>
        <v>113363.684927776</v>
      </c>
      <c r="HC26" s="749">
        <f t="shared" si="71"/>
        <v>-6.2671778141520917E-4</v>
      </c>
      <c r="HD26" s="549"/>
      <c r="HG26" s="549"/>
      <c r="HH26" s="549"/>
      <c r="HI26" s="549"/>
      <c r="HJ26" s="549"/>
      <c r="HK26" s="549"/>
      <c r="HL26" s="549"/>
      <c r="HM26" s="549"/>
      <c r="HP26" s="545">
        <f t="shared" si="122"/>
        <v>23</v>
      </c>
      <c r="HQ26" s="761">
        <f t="shared" si="72"/>
        <v>23</v>
      </c>
      <c r="HR26" s="655" t="s">
        <v>412</v>
      </c>
      <c r="HS26" s="656">
        <f t="shared" si="92"/>
        <v>596722.42296262318</v>
      </c>
      <c r="HT26" s="756">
        <f t="shared" si="93"/>
        <v>18.997724999999999</v>
      </c>
      <c r="HU26" s="756">
        <v>16.893163000000001</v>
      </c>
      <c r="HV26" s="647">
        <f t="shared" si="94"/>
        <v>0.12458069575247666</v>
      </c>
      <c r="HW26" s="756">
        <f t="shared" si="95"/>
        <v>2.1045619999999978</v>
      </c>
      <c r="HX26" s="648">
        <v>25</v>
      </c>
      <c r="IO26" s="545">
        <v>23</v>
      </c>
      <c r="IP26" s="761">
        <v>23</v>
      </c>
      <c r="IQ26" s="655" t="s">
        <v>412</v>
      </c>
      <c r="IR26" s="769">
        <f t="shared" si="96"/>
        <v>113363.68555449379</v>
      </c>
      <c r="IS26" s="770">
        <f t="shared" si="96"/>
        <v>596722.42296262318</v>
      </c>
      <c r="IT26" s="771">
        <f t="shared" si="96"/>
        <v>18.997724999999999</v>
      </c>
      <c r="IU26" s="656">
        <f t="shared" si="97"/>
        <v>87333.454492460151</v>
      </c>
      <c r="IV26" s="656">
        <f t="shared" si="98"/>
        <v>509388.96847016306</v>
      </c>
      <c r="IW26" s="769">
        <f t="shared" si="99"/>
        <v>1310.0018173869023</v>
      </c>
      <c r="IX26" s="769">
        <f t="shared" si="100"/>
        <v>112053.68373710688</v>
      </c>
      <c r="IY26" s="550">
        <f>IX26/IS26*100</f>
        <v>18.77819224234608</v>
      </c>
      <c r="IZ26" s="550">
        <f t="shared" si="102"/>
        <v>20.27819224234608</v>
      </c>
      <c r="JA26" s="769">
        <f t="shared" si="103"/>
        <v>113363.68555449377</v>
      </c>
      <c r="JB26" s="746">
        <f t="shared" si="104"/>
        <v>0.21953275765391922</v>
      </c>
      <c r="JF26" s="545">
        <f t="shared" si="123"/>
        <v>23</v>
      </c>
      <c r="JG26" s="761">
        <f t="shared" si="73"/>
        <v>23</v>
      </c>
      <c r="JH26" s="655" t="s">
        <v>412</v>
      </c>
      <c r="JI26" s="656">
        <f t="shared" si="105"/>
        <v>596722.42296262318</v>
      </c>
      <c r="JJ26" s="756">
        <f t="shared" si="106"/>
        <v>18.77819224234608</v>
      </c>
      <c r="JK26" s="756">
        <v>16.670930182281545</v>
      </c>
      <c r="JL26" s="647">
        <f t="shared" si="126"/>
        <v>0.12640338823470132</v>
      </c>
      <c r="JM26" s="756">
        <f t="shared" si="108"/>
        <v>2.1072620600645351</v>
      </c>
      <c r="JN26" s="648">
        <v>25</v>
      </c>
      <c r="JS26" s="756">
        <v>18.824630250058792</v>
      </c>
      <c r="JT26" s="756">
        <f t="shared" si="109"/>
        <v>-4.6438007712712448E-2</v>
      </c>
      <c r="JU26" s="1009">
        <v>554610</v>
      </c>
      <c r="JV26" s="1009">
        <f t="shared" si="110"/>
        <v>-42112.422962623183</v>
      </c>
      <c r="JW26" s="978">
        <f t="shared" si="124"/>
        <v>-2.4668748918756276E-3</v>
      </c>
      <c r="JX26" s="997">
        <v>104403.28182985107</v>
      </c>
      <c r="JY26" s="997">
        <f t="shared" si="111"/>
        <v>112053.68373710687</v>
      </c>
      <c r="JZ26" s="516"/>
      <c r="KA26" s="516"/>
      <c r="KB26" s="516"/>
      <c r="KC26" s="516"/>
      <c r="KE26" s="516"/>
      <c r="KF26" s="516"/>
    </row>
    <row r="27" spans="2:292" ht="17.25" thickBot="1" x14ac:dyDescent="0.35">
      <c r="I27" s="297">
        <v>24</v>
      </c>
      <c r="J27" s="664">
        <f t="shared" si="1"/>
        <v>24</v>
      </c>
      <c r="K27" s="665" t="s">
        <v>413</v>
      </c>
      <c r="L27" s="992"/>
      <c r="M27" s="667">
        <f t="shared" si="2"/>
        <v>0</v>
      </c>
      <c r="N27" s="666">
        <v>546</v>
      </c>
      <c r="O27" s="666">
        <f t="shared" si="74"/>
        <v>0</v>
      </c>
      <c r="P27" s="667">
        <f t="shared" si="3"/>
        <v>0</v>
      </c>
      <c r="Q27" s="668" t="s">
        <v>384</v>
      </c>
      <c r="U27" s="580">
        <f t="shared" si="113"/>
        <v>24</v>
      </c>
      <c r="V27" s="672">
        <f t="shared" si="4"/>
        <v>24</v>
      </c>
      <c r="W27" s="665" t="s">
        <v>413</v>
      </c>
      <c r="X27" s="673">
        <f t="shared" si="75"/>
        <v>0</v>
      </c>
      <c r="Y27" s="667">
        <f t="shared" si="5"/>
        <v>0</v>
      </c>
      <c r="AC27" s="570">
        <f t="shared" si="114"/>
        <v>24</v>
      </c>
      <c r="AD27" s="684">
        <v>24</v>
      </c>
      <c r="AE27" s="685" t="s">
        <v>413</v>
      </c>
      <c r="AF27" s="686">
        <v>5.4</v>
      </c>
      <c r="AP27" s="580">
        <f t="shared" si="77"/>
        <v>24</v>
      </c>
      <c r="AQ27" s="701">
        <f t="shared" si="6"/>
        <v>24</v>
      </c>
      <c r="AR27" s="665" t="s">
        <v>413</v>
      </c>
      <c r="AS27" s="665">
        <f t="shared" si="7"/>
        <v>5.4</v>
      </c>
      <c r="AT27" s="702">
        <f t="shared" si="78"/>
        <v>0</v>
      </c>
      <c r="AU27" s="702">
        <f t="shared" si="115"/>
        <v>0</v>
      </c>
      <c r="AV27" s="703">
        <f t="shared" si="8"/>
        <v>0</v>
      </c>
      <c r="AW27" s="704">
        <f t="shared" si="9"/>
        <v>21.592508896755888</v>
      </c>
      <c r="AX27" s="673">
        <f t="shared" si="125"/>
        <v>0</v>
      </c>
      <c r="AY27" s="554">
        <f t="shared" si="79"/>
        <v>0</v>
      </c>
      <c r="AZ27" s="581">
        <f t="shared" si="10"/>
        <v>0</v>
      </c>
      <c r="BD27" s="15"/>
      <c r="BE27" s="15"/>
      <c r="BF27" s="15"/>
      <c r="BG27" s="15"/>
      <c r="BK27" s="297">
        <f t="shared" si="116"/>
        <v>24</v>
      </c>
      <c r="BL27" s="668">
        <f t="shared" si="11"/>
        <v>24</v>
      </c>
      <c r="BM27" s="665" t="s">
        <v>413</v>
      </c>
      <c r="BN27" s="667">
        <f t="shared" si="80"/>
        <v>0</v>
      </c>
      <c r="BO27" s="673">
        <f t="shared" si="81"/>
        <v>0</v>
      </c>
      <c r="BP27" s="667">
        <f t="shared" si="82"/>
        <v>0</v>
      </c>
      <c r="BQ27" s="673">
        <f t="shared" si="83"/>
        <v>0</v>
      </c>
      <c r="BR27" s="712">
        <f t="shared" si="12"/>
        <v>0</v>
      </c>
      <c r="BS27" s="713">
        <f t="shared" si="13"/>
        <v>0</v>
      </c>
      <c r="BV27" s="15"/>
      <c r="BW27" s="190"/>
      <c r="BX27" s="190"/>
      <c r="BY27" s="190"/>
      <c r="BZ27" s="190"/>
      <c r="CA27" s="190"/>
      <c r="CB27" s="190"/>
      <c r="CC27" s="190"/>
      <c r="CD27" s="190"/>
      <c r="CH27" s="297">
        <f t="shared" si="117"/>
        <v>24</v>
      </c>
      <c r="CI27" s="725">
        <f t="shared" si="15"/>
        <v>24</v>
      </c>
      <c r="CJ27" s="665" t="s">
        <v>413</v>
      </c>
      <c r="CK27" s="726">
        <f t="shared" si="16"/>
        <v>0</v>
      </c>
      <c r="CL27" s="727">
        <f t="shared" si="17"/>
        <v>0</v>
      </c>
      <c r="CM27" s="726">
        <f t="shared" si="18"/>
        <v>0</v>
      </c>
      <c r="CN27" s="727">
        <f t="shared" si="19"/>
        <v>0</v>
      </c>
      <c r="CO27" s="727">
        <f t="shared" si="20"/>
        <v>0</v>
      </c>
      <c r="CP27" s="726">
        <f t="shared" si="21"/>
        <v>0</v>
      </c>
      <c r="CQ27" s="728">
        <f t="shared" si="22"/>
        <v>0</v>
      </c>
      <c r="DD27" s="15"/>
      <c r="DG27" s="580">
        <f t="shared" si="118"/>
        <v>24</v>
      </c>
      <c r="DH27" s="740">
        <f t="shared" si="24"/>
        <v>24</v>
      </c>
      <c r="DI27" s="665" t="s">
        <v>413</v>
      </c>
      <c r="DJ27" s="726">
        <f t="shared" si="25"/>
        <v>0</v>
      </c>
      <c r="DK27" s="727">
        <f t="shared" si="84"/>
        <v>0</v>
      </c>
      <c r="DL27" s="726">
        <f t="shared" si="26"/>
        <v>0</v>
      </c>
      <c r="DM27" s="727">
        <f t="shared" si="27"/>
        <v>0</v>
      </c>
      <c r="DN27" s="726">
        <f t="shared" si="28"/>
        <v>0</v>
      </c>
      <c r="DO27" s="727">
        <f t="shared" si="29"/>
        <v>0</v>
      </c>
      <c r="DP27" s="727">
        <f t="shared" si="85"/>
        <v>0</v>
      </c>
      <c r="DQ27" s="726">
        <f t="shared" si="30"/>
        <v>0</v>
      </c>
      <c r="DR27" s="728">
        <f t="shared" si="31"/>
        <v>0</v>
      </c>
      <c r="DV27" s="580">
        <f t="shared" si="119"/>
        <v>24</v>
      </c>
      <c r="DW27" s="740">
        <f t="shared" si="32"/>
        <v>24</v>
      </c>
      <c r="DX27" s="665" t="s">
        <v>413</v>
      </c>
      <c r="DY27" s="726">
        <f t="shared" si="33"/>
        <v>0</v>
      </c>
      <c r="DZ27" s="727">
        <f t="shared" si="34"/>
        <v>0</v>
      </c>
      <c r="EA27" s="728">
        <f t="shared" si="35"/>
        <v>0</v>
      </c>
      <c r="EM27" s="580">
        <f t="shared" si="120"/>
        <v>24</v>
      </c>
      <c r="EN27" s="740">
        <f t="shared" si="36"/>
        <v>24</v>
      </c>
      <c r="EO27" s="665" t="s">
        <v>413</v>
      </c>
      <c r="EP27" s="726">
        <f t="shared" si="37"/>
        <v>0</v>
      </c>
      <c r="EQ27" s="727">
        <f t="shared" si="38"/>
        <v>0</v>
      </c>
      <c r="ER27" s="726">
        <f t="shared" si="39"/>
        <v>0</v>
      </c>
      <c r="ES27" s="727">
        <f t="shared" si="40"/>
        <v>0</v>
      </c>
      <c r="ET27" s="726">
        <f t="shared" si="41"/>
        <v>0</v>
      </c>
      <c r="EU27" s="727">
        <f t="shared" si="42"/>
        <v>0</v>
      </c>
      <c r="EV27" s="727">
        <f t="shared" si="43"/>
        <v>0</v>
      </c>
      <c r="EW27" s="726">
        <f t="shared" si="44"/>
        <v>0</v>
      </c>
      <c r="EX27" s="728">
        <f t="shared" si="45"/>
        <v>0</v>
      </c>
      <c r="FH27" s="580">
        <f t="shared" si="121"/>
        <v>24</v>
      </c>
      <c r="FI27" s="672">
        <f t="shared" si="46"/>
        <v>24</v>
      </c>
      <c r="FJ27" s="665" t="s">
        <v>413</v>
      </c>
      <c r="FK27" s="726">
        <f t="shared" si="47"/>
        <v>0</v>
      </c>
      <c r="FL27" s="727">
        <f t="shared" si="48"/>
        <v>0</v>
      </c>
      <c r="FM27" s="728">
        <f t="shared" si="49"/>
        <v>0</v>
      </c>
      <c r="FQ27" s="297">
        <v>24</v>
      </c>
      <c r="FR27" s="672">
        <v>24</v>
      </c>
      <c r="FS27" s="665" t="s">
        <v>413</v>
      </c>
      <c r="FT27" s="727">
        <f t="shared" si="50"/>
        <v>0</v>
      </c>
      <c r="FU27" s="727">
        <f t="shared" si="51"/>
        <v>0</v>
      </c>
      <c r="FV27" s="727">
        <f t="shared" si="52"/>
        <v>0</v>
      </c>
      <c r="FW27" s="727">
        <f t="shared" si="87"/>
        <v>0</v>
      </c>
      <c r="FX27" s="727">
        <f t="shared" si="53"/>
        <v>0</v>
      </c>
      <c r="FY27" s="727">
        <f t="shared" si="54"/>
        <v>0</v>
      </c>
      <c r="FZ27" s="727">
        <f t="shared" si="55"/>
        <v>0</v>
      </c>
      <c r="GA27" s="727">
        <f t="shared" si="135"/>
        <v>0</v>
      </c>
      <c r="GB27" s="748">
        <f t="shared" si="57"/>
        <v>0</v>
      </c>
      <c r="GF27" s="580">
        <f t="shared" si="88"/>
        <v>24</v>
      </c>
      <c r="GG27" s="672">
        <f t="shared" si="58"/>
        <v>24</v>
      </c>
      <c r="GH27" s="665" t="s">
        <v>413</v>
      </c>
      <c r="GI27" s="728">
        <f t="shared" si="59"/>
        <v>0</v>
      </c>
      <c r="GJ27" s="728">
        <f t="shared" si="60"/>
        <v>0</v>
      </c>
      <c r="GK27" s="728">
        <f t="shared" si="61"/>
        <v>0</v>
      </c>
      <c r="GL27" s="728">
        <f t="shared" si="62"/>
        <v>0</v>
      </c>
      <c r="GM27" s="728">
        <f t="shared" si="63"/>
        <v>0</v>
      </c>
      <c r="GN27" s="728">
        <f t="shared" si="64"/>
        <v>0</v>
      </c>
      <c r="GO27" s="728">
        <f t="shared" si="65"/>
        <v>0</v>
      </c>
      <c r="GP27" s="728">
        <f t="shared" si="66"/>
        <v>0</v>
      </c>
      <c r="GQ27" s="666">
        <f t="shared" si="89"/>
        <v>0</v>
      </c>
      <c r="GR27" s="530"/>
      <c r="GU27" s="297">
        <f t="shared" si="90"/>
        <v>24</v>
      </c>
      <c r="GV27" s="672">
        <f t="shared" si="67"/>
        <v>24</v>
      </c>
      <c r="GW27" s="665" t="s">
        <v>413</v>
      </c>
      <c r="GX27" s="668" t="s">
        <v>384</v>
      </c>
      <c r="GY27" s="673">
        <f t="shared" si="68"/>
        <v>0</v>
      </c>
      <c r="GZ27" s="666">
        <f t="shared" si="69"/>
        <v>0</v>
      </c>
      <c r="HA27" s="728">
        <f t="shared" si="91"/>
        <v>0</v>
      </c>
      <c r="HB27" s="727">
        <f t="shared" si="70"/>
        <v>0</v>
      </c>
      <c r="HC27" s="751">
        <f t="shared" si="71"/>
        <v>0</v>
      </c>
      <c r="HD27" s="549"/>
      <c r="HG27" s="549"/>
      <c r="HH27" s="549"/>
      <c r="HI27" s="549"/>
      <c r="HJ27" s="549"/>
      <c r="HK27" s="549"/>
      <c r="HL27" s="549"/>
      <c r="HM27" s="549"/>
      <c r="HP27" s="580">
        <f t="shared" si="122"/>
        <v>24</v>
      </c>
      <c r="HQ27" s="763">
        <f t="shared" si="72"/>
        <v>24</v>
      </c>
      <c r="HR27" s="665" t="s">
        <v>413</v>
      </c>
      <c r="HS27" s="666">
        <f t="shared" si="92"/>
        <v>0</v>
      </c>
      <c r="HT27" s="758">
        <f t="shared" si="93"/>
        <v>0</v>
      </c>
      <c r="HU27" s="758">
        <v>8.7916229999999995</v>
      </c>
      <c r="HV27" s="759">
        <f t="shared" si="94"/>
        <v>-1</v>
      </c>
      <c r="HW27" s="758">
        <f t="shared" si="95"/>
        <v>-8.7916229999999995</v>
      </c>
      <c r="HX27" s="760">
        <v>10</v>
      </c>
      <c r="IO27" s="580">
        <v>24</v>
      </c>
      <c r="IP27" s="763">
        <v>24</v>
      </c>
      <c r="IQ27" s="665" t="s">
        <v>413</v>
      </c>
      <c r="IR27" s="775">
        <f t="shared" si="96"/>
        <v>0</v>
      </c>
      <c r="IS27" s="776">
        <f t="shared" si="96"/>
        <v>0</v>
      </c>
      <c r="IT27" s="777">
        <f t="shared" si="96"/>
        <v>0</v>
      </c>
      <c r="IU27" s="992">
        <v>0</v>
      </c>
      <c r="IV27" s="666">
        <f t="shared" si="98"/>
        <v>0</v>
      </c>
      <c r="IW27" s="775">
        <f t="shared" si="99"/>
        <v>0</v>
      </c>
      <c r="IX27" s="775">
        <f t="shared" si="100"/>
        <v>0</v>
      </c>
      <c r="IY27" s="582">
        <f>IT27</f>
        <v>0</v>
      </c>
      <c r="IZ27" s="583">
        <f>IY27</f>
        <v>0</v>
      </c>
      <c r="JA27" s="775">
        <f t="shared" si="103"/>
        <v>0</v>
      </c>
      <c r="JB27" s="779">
        <f t="shared" si="104"/>
        <v>0</v>
      </c>
      <c r="JF27" s="551">
        <f t="shared" si="123"/>
        <v>24</v>
      </c>
      <c r="JG27" s="762">
        <f t="shared" si="73"/>
        <v>24</v>
      </c>
      <c r="JH27" s="660" t="s">
        <v>413</v>
      </c>
      <c r="JI27" s="661">
        <f t="shared" si="105"/>
        <v>0</v>
      </c>
      <c r="JJ27" s="757">
        <f t="shared" si="106"/>
        <v>0</v>
      </c>
      <c r="JK27" s="757">
        <v>8.7916229999999995</v>
      </c>
      <c r="JL27" s="651">
        <f t="shared" si="126"/>
        <v>-1</v>
      </c>
      <c r="JM27" s="757">
        <f t="shared" si="108"/>
        <v>-8.7916229999999995</v>
      </c>
      <c r="JN27" s="652">
        <v>10</v>
      </c>
      <c r="JS27" s="757">
        <v>0</v>
      </c>
      <c r="JT27" s="757">
        <f t="shared" si="109"/>
        <v>0</v>
      </c>
      <c r="JU27" s="1010">
        <v>0</v>
      </c>
      <c r="JV27" s="1009">
        <f t="shared" si="110"/>
        <v>0</v>
      </c>
      <c r="JW27" s="978"/>
      <c r="JX27" s="997">
        <v>0</v>
      </c>
      <c r="JY27" s="997">
        <f t="shared" si="111"/>
        <v>0</v>
      </c>
      <c r="JZ27" s="516"/>
      <c r="KA27" s="516"/>
      <c r="KB27" s="516"/>
      <c r="KC27" s="516"/>
      <c r="KE27" s="516"/>
      <c r="KF27" s="516"/>
    </row>
    <row r="28" spans="2:292" ht="17.25" thickBot="1" x14ac:dyDescent="0.35">
      <c r="F28" s="15"/>
      <c r="G28" s="584"/>
      <c r="H28" s="15"/>
      <c r="I28" s="585">
        <v>25</v>
      </c>
      <c r="J28" s="586"/>
      <c r="K28" s="566" t="s">
        <v>71</v>
      </c>
      <c r="L28" s="1007">
        <f>SUM(L4:L27)</f>
        <v>2194550237.8201146</v>
      </c>
      <c r="M28" s="784">
        <f>SUM(M4:M27)</f>
        <v>0.99999999999999989</v>
      </c>
      <c r="N28" s="587">
        <f>SUM(N4:N27)</f>
        <v>17767</v>
      </c>
      <c r="O28" s="587">
        <f>SUM(O4:O27)</f>
        <v>1782179.7267532537</v>
      </c>
      <c r="P28" s="784">
        <f>SUM(P4:P27)</f>
        <v>1</v>
      </c>
      <c r="Q28" s="588"/>
      <c r="R28" s="15"/>
      <c r="S28" s="584"/>
      <c r="T28" s="15"/>
      <c r="U28" s="585">
        <f>+U27+1</f>
        <v>25</v>
      </c>
      <c r="V28" s="674"/>
      <c r="W28" s="675" t="s">
        <v>71</v>
      </c>
      <c r="X28" s="785">
        <f>SUM(X4:X27)</f>
        <v>96726611.899877667</v>
      </c>
      <c r="Y28" s="784">
        <f>SUM(Y4:Y27)</f>
        <v>1.0000000000000002</v>
      </c>
      <c r="Z28" s="15"/>
      <c r="AA28" s="584"/>
      <c r="AB28" s="15"/>
      <c r="AG28" s="15"/>
      <c r="AH28" s="584"/>
      <c r="AI28" s="15"/>
      <c r="AJ28" s="15"/>
      <c r="AK28" s="15"/>
      <c r="AL28" s="15"/>
      <c r="AP28" s="585">
        <f>+AP27+1</f>
        <v>25</v>
      </c>
      <c r="AQ28" s="590"/>
      <c r="AR28" s="591" t="s">
        <v>71</v>
      </c>
      <c r="AS28" s="592">
        <f>AL7</f>
        <v>3.0952351357389047</v>
      </c>
      <c r="AT28" s="587">
        <f>SUM(AT4:AT27)</f>
        <v>2194550237.8201146</v>
      </c>
      <c r="AU28" s="587">
        <f>SUM(AU4:AU27)</f>
        <v>1886846.9453458302</v>
      </c>
      <c r="AV28" s="587">
        <f>SUM(AV4:AV27)</f>
        <v>1948521.4691116419</v>
      </c>
      <c r="AW28" s="593">
        <f>SUMPRODUCT(AW4:AW27,AT4:AT27)/AT28</f>
        <v>21.592508896755884</v>
      </c>
      <c r="AX28" s="594">
        <f>SUM(AX4:AX27)</f>
        <v>42073467.157312959</v>
      </c>
      <c r="AY28" s="595">
        <f t="shared" si="79"/>
        <v>1</v>
      </c>
      <c r="AZ28" s="596">
        <f>AX28*100/$L$28</f>
        <v>1.9171794945603651</v>
      </c>
      <c r="BA28" s="15"/>
      <c r="BB28" s="584"/>
      <c r="BC28" s="15"/>
      <c r="BD28" s="530"/>
      <c r="BE28" s="530"/>
      <c r="BF28" s="530"/>
      <c r="BG28" s="530"/>
      <c r="BH28" s="15"/>
      <c r="BI28" s="584"/>
      <c r="BJ28" s="15"/>
      <c r="BK28" s="562">
        <f>+BK27+1</f>
        <v>25</v>
      </c>
      <c r="BL28" s="597"/>
      <c r="BM28" s="598" t="s">
        <v>71</v>
      </c>
      <c r="BN28" s="599">
        <f>SUM(BN4:BN27)</f>
        <v>1.0000000000000004</v>
      </c>
      <c r="BO28" s="564">
        <f>BG4</f>
        <v>9586712.8881295025</v>
      </c>
      <c r="BP28" s="599">
        <f>SUM(BP4:BP27)</f>
        <v>0.99999999999999989</v>
      </c>
      <c r="BQ28" s="564">
        <f>BG5</f>
        <v>9586712.8881295025</v>
      </c>
      <c r="BR28" s="600">
        <f>C6</f>
        <v>19173425.776259005</v>
      </c>
      <c r="BS28" s="601">
        <f>BR28*100/$L$28</f>
        <v>0.87368361160436714</v>
      </c>
      <c r="BT28" s="15"/>
      <c r="BU28" s="584"/>
      <c r="BV28" s="15"/>
      <c r="BW28" s="190"/>
      <c r="BX28" s="190"/>
      <c r="BY28" s="190"/>
      <c r="BZ28" s="190"/>
      <c r="CA28" s="190"/>
      <c r="CB28" s="190"/>
      <c r="CC28" s="190"/>
      <c r="CD28" s="190"/>
      <c r="CE28" s="15"/>
      <c r="CF28" s="584"/>
      <c r="CH28" s="562">
        <f>+CH27+1</f>
        <v>25</v>
      </c>
      <c r="CI28" s="589"/>
      <c r="CJ28" s="566" t="s">
        <v>71</v>
      </c>
      <c r="CK28" s="602">
        <f>SUM(CK4:CK27)</f>
        <v>0.99999999999999989</v>
      </c>
      <c r="CL28" s="564">
        <f>CC9</f>
        <v>5861738.7768834978</v>
      </c>
      <c r="CM28" s="602">
        <f>SUM(CM4:CM27)</f>
        <v>1</v>
      </c>
      <c r="CN28" s="564">
        <f>CD9</f>
        <v>19211977.952013664</v>
      </c>
      <c r="CO28" s="564">
        <f>SUM(CO4:CO27)</f>
        <v>25073716.728897158</v>
      </c>
      <c r="CP28" s="602">
        <f>SUM(CP4:CP27)</f>
        <v>1.0000000000000002</v>
      </c>
      <c r="CQ28" s="601">
        <f>CO28*100/$L$28</f>
        <v>1.1425446680046532</v>
      </c>
      <c r="CS28" s="584"/>
      <c r="CT28" s="15"/>
      <c r="DD28" s="15"/>
      <c r="DE28" s="584"/>
      <c r="DF28" s="514"/>
      <c r="DG28" s="585">
        <f>DG27+1</f>
        <v>25</v>
      </c>
      <c r="DH28" s="590"/>
      <c r="DI28" s="591" t="s">
        <v>71</v>
      </c>
      <c r="DJ28" s="602">
        <f>SUM(DJ4:DJ27)</f>
        <v>1.0000000000000002</v>
      </c>
      <c r="DK28" s="564">
        <f>CZ7</f>
        <v>376694.73457649816</v>
      </c>
      <c r="DL28" s="602">
        <f>SUM(DL4:DL27)</f>
        <v>1</v>
      </c>
      <c r="DM28" s="564">
        <f>DA7</f>
        <v>2448135.5093462113</v>
      </c>
      <c r="DN28" s="602">
        <f>SUM(DN4:DN27)</f>
        <v>0.99999999999999989</v>
      </c>
      <c r="DO28" s="564">
        <f>DB7</f>
        <v>3548864.0135629829</v>
      </c>
      <c r="DP28" s="564">
        <f>SUM(DP4:DP27)</f>
        <v>6373694.2574856915</v>
      </c>
      <c r="DQ28" s="602">
        <f>SUM(DQ4:DQ27)</f>
        <v>1</v>
      </c>
      <c r="DR28" s="601">
        <f>DP28*100/$L$28</f>
        <v>0.29043282526158043</v>
      </c>
      <c r="DS28" s="530"/>
      <c r="DT28" s="584"/>
      <c r="DU28" s="530"/>
      <c r="DV28" s="585">
        <f>DV27+1</f>
        <v>25</v>
      </c>
      <c r="DW28" s="590"/>
      <c r="DX28" s="591" t="s">
        <v>71</v>
      </c>
      <c r="DY28" s="602">
        <f>SUM(DY4:DY27)</f>
        <v>1</v>
      </c>
      <c r="DZ28" s="564">
        <f>C9</f>
        <v>4032307.9799228488</v>
      </c>
      <c r="EA28" s="601">
        <f>DZ28*100/$L$28</f>
        <v>0.18374188525883151</v>
      </c>
      <c r="EB28" s="530"/>
      <c r="EC28" s="584"/>
      <c r="ED28" s="15"/>
      <c r="EJ28" s="15"/>
      <c r="EK28" s="584"/>
      <c r="EL28" s="15"/>
      <c r="EM28" s="585">
        <f>+EM27+1</f>
        <v>25</v>
      </c>
      <c r="EN28" s="590"/>
      <c r="EO28" s="591" t="s">
        <v>71</v>
      </c>
      <c r="EP28" s="602">
        <f>SUM(EP4:EP27)</f>
        <v>1.0000000000000002</v>
      </c>
      <c r="EQ28" s="564">
        <f>EI4</f>
        <v>7861554.9348081611</v>
      </c>
      <c r="ER28" s="602">
        <f>SUM(ER4:ER27)</f>
        <v>1.0000000000000002</v>
      </c>
      <c r="ES28" s="564">
        <f>EI5</f>
        <v>1014795.0574341202</v>
      </c>
      <c r="ET28" s="602">
        <f>SUM(ET4:ET27)</f>
        <v>0.99999999999999989</v>
      </c>
      <c r="EU28" s="564">
        <f>EI6</f>
        <v>4295845.10915922</v>
      </c>
      <c r="EV28" s="564">
        <f>SUM(EV4:EV27)</f>
        <v>13172195.101401502</v>
      </c>
      <c r="EW28" s="602">
        <f>SUM(EW4:EW27)</f>
        <v>1</v>
      </c>
      <c r="EX28" s="601">
        <f>EV28*100/$L$28</f>
        <v>0.60022299213736274</v>
      </c>
      <c r="EY28" s="15"/>
      <c r="EZ28" s="584"/>
      <c r="FA28" s="15"/>
      <c r="FE28" s="15"/>
      <c r="FF28" s="584"/>
      <c r="FG28" s="530"/>
      <c r="FH28" s="585">
        <f>+FH27+1</f>
        <v>25</v>
      </c>
      <c r="FI28" s="603"/>
      <c r="FJ28" s="560" t="s">
        <v>71</v>
      </c>
      <c r="FK28" s="602">
        <f t="shared" si="47"/>
        <v>1.0000000000000002</v>
      </c>
      <c r="FL28" s="564">
        <f>FD6</f>
        <v>19721739.309395924</v>
      </c>
      <c r="FM28" s="601">
        <f>FL28*100/$L$28</f>
        <v>0.8986688465599163</v>
      </c>
      <c r="FN28" s="15"/>
      <c r="FQ28" s="562">
        <v>25</v>
      </c>
      <c r="FR28" s="604"/>
      <c r="FS28" s="598" t="s">
        <v>71</v>
      </c>
      <c r="FT28" s="564">
        <f t="shared" ref="FT28:FY28" si="136">SUM(FT4:FT27)</f>
        <v>42073467.157312959</v>
      </c>
      <c r="FU28" s="564">
        <f t="shared" si="136"/>
        <v>19173425.776259009</v>
      </c>
      <c r="FV28" s="564">
        <f t="shared" si="136"/>
        <v>25073716.728897158</v>
      </c>
      <c r="FW28" s="564">
        <f t="shared" si="136"/>
        <v>6373694.2574856915</v>
      </c>
      <c r="FX28" s="564">
        <f t="shared" si="136"/>
        <v>4032307.9799228483</v>
      </c>
      <c r="FY28" s="564">
        <f t="shared" si="136"/>
        <v>13172195.101401502</v>
      </c>
      <c r="FZ28" s="564">
        <f>SUM(FZ4:FZ27)</f>
        <v>19721739.309395924</v>
      </c>
      <c r="GA28" s="564">
        <f>SUM(FT28:FZ28)</f>
        <v>129620546.31067508</v>
      </c>
      <c r="GB28" s="605">
        <v>5.9055510012352572</v>
      </c>
      <c r="GC28" s="15"/>
      <c r="GF28" s="585">
        <v>25</v>
      </c>
      <c r="GG28" s="606"/>
      <c r="GH28" s="566" t="s">
        <v>71</v>
      </c>
      <c r="GI28" s="601">
        <f t="shared" ref="GI28:GP28" si="137">FT28*100/$GQ$28</f>
        <v>1.9171794945603651</v>
      </c>
      <c r="GJ28" s="601">
        <f t="shared" si="137"/>
        <v>0.87368361160436736</v>
      </c>
      <c r="GK28" s="601">
        <f t="shared" si="137"/>
        <v>1.1425446680046532</v>
      </c>
      <c r="GL28" s="601">
        <f t="shared" si="137"/>
        <v>0.29043282526158043</v>
      </c>
      <c r="GM28" s="601">
        <f t="shared" si="137"/>
        <v>0.18374188525883148</v>
      </c>
      <c r="GN28" s="601">
        <f t="shared" si="137"/>
        <v>0.60022299213736274</v>
      </c>
      <c r="GO28" s="601">
        <f t="shared" si="137"/>
        <v>0.8986688465599163</v>
      </c>
      <c r="GP28" s="605">
        <f t="shared" si="137"/>
        <v>5.9064743233870765</v>
      </c>
      <c r="GQ28" s="587">
        <f>SUM(GQ4:GQ27)</f>
        <v>2194550237.8201146</v>
      </c>
      <c r="GR28" s="607"/>
      <c r="GU28" s="562">
        <v>25</v>
      </c>
      <c r="GV28" s="604"/>
      <c r="GW28" s="598" t="s">
        <v>71</v>
      </c>
      <c r="GX28" s="586"/>
      <c r="GY28" s="564">
        <f>SUM(GY4:GY27)</f>
        <v>129620546.3106751</v>
      </c>
      <c r="GZ28" s="608">
        <f>SUM(GZ4:GZ27)</f>
        <v>2194550237.8201146</v>
      </c>
      <c r="HA28" s="601">
        <f t="shared" ref="HA28" si="138">IF(GZ28&lt;&gt;0,GY28/GZ28*100,0)</f>
        <v>5.9064743233870765</v>
      </c>
      <c r="HB28" s="564">
        <f>SUM(HB4:HB27)</f>
        <v>129620542.84029447</v>
      </c>
      <c r="HC28" s="569">
        <f>SUM(HC4:HC27)</f>
        <v>-3.4703806268296375</v>
      </c>
      <c r="HD28" s="609"/>
      <c r="HG28" s="609"/>
      <c r="HH28" s="609"/>
      <c r="HI28" s="609"/>
      <c r="HJ28" s="609"/>
      <c r="HK28" s="609"/>
      <c r="HL28" s="609"/>
      <c r="HM28" s="609"/>
      <c r="HP28" s="585">
        <v>25</v>
      </c>
      <c r="HQ28" s="610" t="s">
        <v>71</v>
      </c>
      <c r="HR28" s="566"/>
      <c r="HS28" s="611">
        <f>SUM(HS4:HS27)</f>
        <v>2194550237.8201146</v>
      </c>
      <c r="HT28" s="612">
        <f>SUMPRODUCT(HS4:HS27,HT4:HT27)/SUM(HS4:HS27)</f>
        <v>5.9064741652507724</v>
      </c>
      <c r="HU28" s="612">
        <f>SUMPRODUCT(HS4:HS27,HU4:HU27)/SUM(HS4:HS27)</f>
        <v>5.1719713880383935</v>
      </c>
      <c r="HV28" s="614">
        <f>IF(HU28&lt;&gt;0,HT28/HU28-1,"")</f>
        <v>0.1420160171247502</v>
      </c>
      <c r="HW28" s="613">
        <f t="shared" si="95"/>
        <v>0.73450277721237889</v>
      </c>
      <c r="HX28" s="615"/>
      <c r="HY28" s="15"/>
      <c r="HZ28" s="584"/>
      <c r="IA28" s="15"/>
      <c r="IL28" s="15"/>
      <c r="IM28" s="584"/>
      <c r="IN28" s="15"/>
      <c r="IO28" s="616">
        <v>25</v>
      </c>
      <c r="IP28" s="610" t="s">
        <v>71</v>
      </c>
      <c r="IQ28" s="566"/>
      <c r="IR28" s="617">
        <f>SUM(IR4:IR27)</f>
        <v>129620546.3106751</v>
      </c>
      <c r="IS28" s="611">
        <f>SUM(IS4:IS27)</f>
        <v>2194550237.8201146</v>
      </c>
      <c r="IT28" s="618">
        <f>SUMPRODUCT(IS4:IS27,IT4:IT27)/SUM(IS4:IS27)</f>
        <v>5.9064741652507724</v>
      </c>
      <c r="IU28" s="611">
        <f>SUM(IU4:IU27)</f>
        <v>316639919.99999994</v>
      </c>
      <c r="IV28" s="611">
        <f>SUM(IV4:IV27)</f>
        <v>1877910317.8201141</v>
      </c>
      <c r="IW28" s="617">
        <f>SUM(IW4:IW27)</f>
        <v>4749598.7999999989</v>
      </c>
      <c r="IX28" s="617">
        <f>SUM(IX4:IX27)</f>
        <v>124870947.51067512</v>
      </c>
      <c r="IY28" s="605">
        <f>IX28/IS28*100</f>
        <v>5.6900473435828758</v>
      </c>
      <c r="IZ28" s="605">
        <f>SUMPRODUCT(IU4:IU27,IZ4:IZ27)/SUM(IU4:IU27)</f>
        <v>7.1636987694621661</v>
      </c>
      <c r="JA28" s="617">
        <f>SUM(JA4:JA27)</f>
        <v>129620546.37923466</v>
      </c>
      <c r="JB28" s="619"/>
      <c r="JF28" s="585">
        <v>25</v>
      </c>
      <c r="JG28" s="610" t="s">
        <v>71</v>
      </c>
      <c r="JH28" s="566"/>
      <c r="JI28" s="611">
        <f>SUM(JI4:JI27)</f>
        <v>2194550237.8201146</v>
      </c>
      <c r="JJ28" s="612">
        <f>SUMPRODUCT($JI4:$JI27,JJ4:JJ27)/SUM($JI4:$JI27)</f>
        <v>5.6900473467069581</v>
      </c>
      <c r="JK28" s="612">
        <f>SUMPRODUCT($JI4:$JI27,JK4:JK27)/SUM($JI4:$JI27)</f>
        <v>4.9528825249179729</v>
      </c>
      <c r="JL28" s="614">
        <f>IF(JK28&lt;&gt;0,JJ28/JK28-1,"")</f>
        <v>0.14883551509253579</v>
      </c>
      <c r="JM28" s="613">
        <f t="shared" si="108"/>
        <v>0.73716482178898524</v>
      </c>
      <c r="JN28" s="615"/>
      <c r="JO28" s="5"/>
      <c r="JS28" s="612">
        <v>5.7021191911919562</v>
      </c>
      <c r="JT28" s="612">
        <f t="shared" si="109"/>
        <v>-1.2071844484998095E-2</v>
      </c>
      <c r="JU28" s="1011">
        <v>2182522571</v>
      </c>
      <c r="JV28" s="1011">
        <f t="shared" si="110"/>
        <v>-12027666.820114613</v>
      </c>
      <c r="JW28" s="978">
        <f t="shared" si="124"/>
        <v>-2.1170803485913506E-3</v>
      </c>
      <c r="JX28" s="997">
        <v>124450038.37308708</v>
      </c>
      <c r="JY28" s="997">
        <f t="shared" si="111"/>
        <v>124870947.57923467</v>
      </c>
      <c r="JZ28" s="516"/>
      <c r="KA28" s="516"/>
      <c r="KB28" s="516"/>
      <c r="KC28" s="516"/>
      <c r="KE28" s="516"/>
      <c r="KF28" s="516"/>
    </row>
    <row r="29" spans="2:292" ht="16.5" x14ac:dyDescent="0.3">
      <c r="F29" s="530"/>
      <c r="G29" s="620"/>
      <c r="H29" s="530"/>
      <c r="L29" s="236"/>
      <c r="N29" s="236"/>
      <c r="O29" s="236"/>
      <c r="R29" s="530"/>
      <c r="S29" s="620"/>
      <c r="T29" s="530"/>
      <c r="U29" s="514"/>
      <c r="V29" s="676"/>
      <c r="Z29" s="530"/>
      <c r="AA29" s="620"/>
      <c r="AB29" s="530"/>
      <c r="AG29" s="530"/>
      <c r="AH29" s="620"/>
      <c r="AI29" s="530"/>
      <c r="AJ29" s="530"/>
      <c r="AK29" s="530"/>
      <c r="AL29" s="530"/>
      <c r="AP29" s="621"/>
      <c r="AQ29" s="621"/>
      <c r="AR29" s="530"/>
      <c r="AS29" s="530"/>
      <c r="AT29" s="530"/>
      <c r="AU29" s="530"/>
      <c r="AV29" s="622"/>
      <c r="AW29" s="530"/>
      <c r="AX29" s="530"/>
      <c r="AY29" s="530"/>
      <c r="AZ29" s="530"/>
      <c r="BA29" s="530"/>
      <c r="BB29" s="620"/>
      <c r="BC29" s="530"/>
      <c r="BD29" s="530"/>
      <c r="BE29" s="530"/>
      <c r="BF29" s="530"/>
      <c r="BG29" s="530"/>
      <c r="BH29" s="530"/>
      <c r="BI29" s="620"/>
      <c r="BJ29" s="530"/>
      <c r="BT29" s="530"/>
      <c r="BU29" s="620"/>
      <c r="BV29" s="623"/>
      <c r="BW29" s="190"/>
      <c r="BX29" s="190"/>
      <c r="BY29" s="190"/>
      <c r="BZ29" s="190"/>
      <c r="CA29" s="190"/>
      <c r="CB29" s="190"/>
      <c r="CC29" s="190"/>
      <c r="CD29" s="190"/>
      <c r="CE29" s="530"/>
      <c r="CF29" s="620"/>
      <c r="CG29" s="15"/>
      <c r="CH29" s="5"/>
      <c r="CL29" s="16"/>
      <c r="CN29" s="16"/>
      <c r="CO29" s="16"/>
      <c r="CR29" s="15"/>
      <c r="CS29" s="620"/>
      <c r="CT29" s="530"/>
      <c r="DD29" s="623"/>
      <c r="DE29" s="620"/>
      <c r="DF29" s="530"/>
      <c r="DG29" s="530"/>
      <c r="DH29" s="530"/>
      <c r="DI29" s="530"/>
      <c r="DJ29" s="530"/>
      <c r="DK29" s="530"/>
      <c r="DL29" s="530"/>
      <c r="DM29" s="530"/>
      <c r="DN29" s="530"/>
      <c r="DO29" s="530"/>
      <c r="DP29" s="530"/>
      <c r="DQ29" s="530"/>
      <c r="DR29" s="530"/>
      <c r="DS29" s="530"/>
      <c r="DT29" s="620"/>
      <c r="DU29" s="530"/>
      <c r="DV29" s="514"/>
      <c r="DW29" s="530"/>
      <c r="DX29" s="530"/>
      <c r="DY29" s="530"/>
      <c r="DZ29" s="530"/>
      <c r="EA29" s="530"/>
      <c r="EB29" s="530"/>
      <c r="EC29" s="620"/>
      <c r="ED29" s="530"/>
      <c r="EJ29" s="530"/>
      <c r="EK29" s="620"/>
      <c r="EL29" s="530"/>
      <c r="EM29" s="530"/>
      <c r="EN29" s="530"/>
      <c r="EO29" s="530"/>
      <c r="EP29" s="530"/>
      <c r="EQ29" s="530"/>
      <c r="ER29" s="530"/>
      <c r="ES29" s="530"/>
      <c r="ET29" s="530"/>
      <c r="EU29" s="624"/>
      <c r="EV29" s="530"/>
      <c r="EW29" s="530"/>
      <c r="EX29" s="530"/>
      <c r="EY29" s="530"/>
      <c r="EZ29" s="620"/>
      <c r="FA29" s="530"/>
      <c r="FE29" s="530"/>
      <c r="FF29" s="620"/>
      <c r="FG29" s="530"/>
      <c r="FH29" s="530"/>
      <c r="FI29" s="530"/>
      <c r="FJ29" s="530"/>
      <c r="FK29" s="530"/>
      <c r="FL29" s="530"/>
      <c r="FM29" s="530"/>
      <c r="FN29" s="530"/>
      <c r="GA29" s="355">
        <f>GA28-'ABDA 3 month Phase I'!MC25</f>
        <v>1654.4833174943924</v>
      </c>
      <c r="GF29" s="530"/>
      <c r="GG29" s="530"/>
      <c r="GH29" s="530"/>
      <c r="GI29" s="530"/>
      <c r="GJ29" s="530"/>
      <c r="GK29" s="530"/>
      <c r="GL29" s="530"/>
      <c r="GM29" s="530"/>
      <c r="GN29" s="530"/>
      <c r="GO29" s="530"/>
      <c r="GP29" s="530"/>
      <c r="GQ29" s="530"/>
      <c r="GR29" s="530"/>
      <c r="HD29" s="204"/>
      <c r="HG29" s="549"/>
      <c r="HH29" s="549"/>
      <c r="HI29" s="549"/>
      <c r="HJ29" s="549"/>
      <c r="HK29" s="549"/>
      <c r="HL29" s="204"/>
      <c r="HM29" s="204"/>
      <c r="HY29" s="530"/>
      <c r="HZ29" s="620"/>
      <c r="IA29" s="530"/>
      <c r="IO29" s="514"/>
      <c r="IP29" s="530"/>
      <c r="JY29" s="997"/>
      <c r="JZ29" s="516"/>
      <c r="KA29" s="516"/>
      <c r="KB29" s="516"/>
      <c r="KC29" s="516"/>
    </row>
    <row r="30" spans="2:292" ht="16.5" x14ac:dyDescent="0.3">
      <c r="F30" s="530"/>
      <c r="G30" s="620"/>
      <c r="H30" s="530"/>
      <c r="R30" s="530"/>
      <c r="S30" s="620"/>
      <c r="T30" s="530"/>
      <c r="U30" s="514"/>
      <c r="V30" s="676"/>
      <c r="W30" s="948" t="s">
        <v>414</v>
      </c>
      <c r="X30" s="739"/>
      <c r="Y30" s="739"/>
      <c r="Z30" s="530"/>
      <c r="AA30" s="620"/>
      <c r="AB30" s="530"/>
      <c r="AG30" s="530"/>
      <c r="AH30" s="620"/>
      <c r="AI30" s="530"/>
      <c r="AJ30" s="530"/>
      <c r="AK30" s="530"/>
      <c r="AL30" s="530"/>
      <c r="AP30" s="530"/>
      <c r="AQ30" s="705" t="s">
        <v>414</v>
      </c>
      <c r="AR30" s="705"/>
      <c r="AS30" s="705">
        <v>3</v>
      </c>
      <c r="AT30" s="705">
        <v>3</v>
      </c>
      <c r="AU30" s="705"/>
      <c r="AV30" s="705"/>
      <c r="AW30" s="705"/>
      <c r="AX30" s="705"/>
      <c r="AY30" s="625"/>
      <c r="AZ30" s="625">
        <v>4</v>
      </c>
      <c r="BA30" s="530"/>
      <c r="BB30" s="620"/>
      <c r="BC30" s="530"/>
      <c r="BD30" s="530"/>
      <c r="BE30" s="530"/>
      <c r="BF30" s="530"/>
      <c r="BG30" s="530"/>
      <c r="BH30" s="530"/>
      <c r="BI30" s="620"/>
      <c r="BJ30" s="530"/>
      <c r="BM30" s="714" t="s">
        <v>416</v>
      </c>
      <c r="BN30" s="714"/>
      <c r="BO30" s="714"/>
      <c r="BP30" s="714"/>
      <c r="BQ30" s="714"/>
      <c r="BR30" s="714"/>
      <c r="BS30" s="714"/>
      <c r="BT30" s="530"/>
      <c r="BU30" s="620"/>
      <c r="BV30" s="623"/>
      <c r="BW30" s="190"/>
      <c r="BX30" s="190"/>
      <c r="BY30" s="190"/>
      <c r="BZ30" s="190"/>
      <c r="CA30" s="190"/>
      <c r="CB30" s="190"/>
      <c r="CC30" s="190"/>
      <c r="CD30" s="190"/>
      <c r="CE30" s="530"/>
      <c r="CF30" s="620"/>
      <c r="CG30" s="530"/>
      <c r="CH30" s="660"/>
      <c r="CI30" s="681"/>
      <c r="CJ30" s="729" t="s">
        <v>417</v>
      </c>
      <c r="CK30" s="660"/>
      <c r="CL30" s="730"/>
      <c r="CM30" s="660"/>
      <c r="CN30" s="730"/>
      <c r="CO30" s="730"/>
      <c r="CP30" s="660"/>
      <c r="CQ30" s="660"/>
      <c r="CR30" s="530"/>
      <c r="CS30" s="620"/>
      <c r="CT30" s="530"/>
      <c r="DD30" s="623"/>
      <c r="DE30" s="620"/>
      <c r="DF30" s="530"/>
      <c r="DG30" s="530"/>
      <c r="DH30" s="530"/>
      <c r="DI30" s="729" t="s">
        <v>418</v>
      </c>
      <c r="DJ30" s="741"/>
      <c r="DK30" s="741"/>
      <c r="DL30" s="741"/>
      <c r="DM30" s="741"/>
      <c r="DN30" s="741"/>
      <c r="DO30" s="741"/>
      <c r="DP30" s="741"/>
      <c r="DQ30" s="741"/>
      <c r="DR30" s="741"/>
      <c r="DT30" s="620"/>
      <c r="DU30" s="530"/>
      <c r="DV30" s="530"/>
      <c r="DW30" s="530"/>
      <c r="DX30" s="1068" t="s">
        <v>418</v>
      </c>
      <c r="DY30" s="1068"/>
      <c r="DZ30" s="1068"/>
      <c r="EA30" s="1068"/>
      <c r="EB30" s="660"/>
      <c r="EC30" s="620"/>
      <c r="ED30" s="530"/>
      <c r="EJ30" s="530"/>
      <c r="EK30" s="620"/>
      <c r="EL30" s="530"/>
      <c r="EM30" s="676"/>
      <c r="EN30" s="676"/>
      <c r="EO30" s="729" t="s">
        <v>419</v>
      </c>
      <c r="EP30" s="729"/>
      <c r="EQ30" s="729"/>
      <c r="ER30" s="729"/>
      <c r="ES30" s="729"/>
      <c r="ET30" s="729"/>
      <c r="EU30" s="729"/>
      <c r="EV30" s="729"/>
      <c r="EW30" s="729"/>
      <c r="EX30" s="729"/>
      <c r="EY30" s="530"/>
      <c r="EZ30" s="620"/>
      <c r="FA30" s="530"/>
      <c r="FE30" s="530"/>
      <c r="FF30" s="620"/>
      <c r="FG30" s="530"/>
      <c r="FH30" s="625"/>
      <c r="FI30" s="626"/>
      <c r="FJ30" s="626"/>
      <c r="FK30" s="626"/>
      <c r="FL30" s="626"/>
      <c r="FM30" s="626">
        <v>4</v>
      </c>
      <c r="FN30" s="530"/>
      <c r="GF30" s="530"/>
      <c r="GG30" s="530"/>
      <c r="GH30" s="530"/>
      <c r="GI30" s="552"/>
      <c r="GJ30" s="552"/>
      <c r="GK30" s="552"/>
      <c r="GL30" s="552"/>
      <c r="GM30" s="552"/>
      <c r="GN30" s="552"/>
      <c r="GO30" s="552"/>
      <c r="GP30" s="530"/>
      <c r="GQ30" s="622"/>
      <c r="GR30" s="530"/>
      <c r="HD30" s="204"/>
      <c r="HG30" s="549"/>
      <c r="HH30" s="549"/>
      <c r="HI30" s="549"/>
      <c r="HJ30" s="549"/>
      <c r="HK30" s="549"/>
      <c r="HL30" s="204"/>
      <c r="HM30" s="204"/>
      <c r="HP30" s="706" t="s">
        <v>420</v>
      </c>
      <c r="HQ30" s="628"/>
      <c r="HR30" s="629"/>
      <c r="HS30" s="630">
        <v>3</v>
      </c>
      <c r="HT30" s="630"/>
      <c r="HU30" s="630">
        <v>11</v>
      </c>
      <c r="HV30" s="630"/>
      <c r="HW30" s="630"/>
      <c r="HX30" s="630">
        <v>6</v>
      </c>
      <c r="HY30" s="530"/>
      <c r="HZ30" s="620"/>
      <c r="IA30" s="530"/>
      <c r="IO30" s="530"/>
      <c r="IP30" s="530"/>
      <c r="JF30" s="706" t="s">
        <v>420</v>
      </c>
      <c r="JG30" s="780"/>
      <c r="JH30" s="781"/>
      <c r="JI30" s="782">
        <v>3</v>
      </c>
      <c r="JJ30" s="782"/>
      <c r="JK30" s="782">
        <v>5</v>
      </c>
      <c r="JL30" s="782"/>
      <c r="JM30" s="782"/>
      <c r="JN30" s="782">
        <v>6</v>
      </c>
      <c r="JO30" s="660"/>
      <c r="JZ30" s="516"/>
      <c r="KA30" s="516"/>
      <c r="KB30" s="516"/>
      <c r="KC30" s="516"/>
    </row>
    <row r="31" spans="2:292" ht="16.5" x14ac:dyDescent="0.3">
      <c r="G31" s="620"/>
      <c r="H31" s="530"/>
      <c r="S31" s="620"/>
      <c r="T31" s="530"/>
      <c r="W31" s="948" t="s">
        <v>415</v>
      </c>
      <c r="X31" s="739">
        <v>2</v>
      </c>
      <c r="Y31" s="739">
        <f>X31+1</f>
        <v>3</v>
      </c>
      <c r="AA31" s="620"/>
      <c r="AB31" s="530"/>
      <c r="AH31" s="620"/>
      <c r="AI31" s="530"/>
      <c r="AJ31" s="530"/>
      <c r="AK31" s="530"/>
      <c r="AL31" s="530"/>
      <c r="AO31" s="631"/>
      <c r="AQ31" s="706" t="s">
        <v>421</v>
      </c>
      <c r="AR31" s="706">
        <v>2</v>
      </c>
      <c r="AS31" s="706">
        <f>+AR31+1</f>
        <v>3</v>
      </c>
      <c r="AT31" s="706">
        <f t="shared" ref="AT31:AX31" si="139">+AS31+1</f>
        <v>4</v>
      </c>
      <c r="AU31" s="706">
        <f t="shared" si="139"/>
        <v>5</v>
      </c>
      <c r="AV31" s="706">
        <f t="shared" si="139"/>
        <v>6</v>
      </c>
      <c r="AW31" s="706">
        <f t="shared" si="139"/>
        <v>7</v>
      </c>
      <c r="AX31" s="706">
        <f t="shared" si="139"/>
        <v>8</v>
      </c>
      <c r="AY31" s="627"/>
      <c r="AZ31" s="627">
        <f>+AX31+1</f>
        <v>9</v>
      </c>
      <c r="BB31" s="620"/>
      <c r="BC31" s="530"/>
      <c r="BD31" s="530"/>
      <c r="BE31" s="530"/>
      <c r="BF31" s="530"/>
      <c r="BG31" s="530"/>
      <c r="BI31" s="620"/>
      <c r="BJ31" s="530"/>
      <c r="BM31" s="660"/>
      <c r="BN31" s="660"/>
      <c r="BO31" s="660"/>
      <c r="BP31" s="660"/>
      <c r="BQ31" s="660"/>
      <c r="BR31" s="660"/>
      <c r="BS31" s="660"/>
      <c r="BU31" s="620"/>
      <c r="BV31" s="623"/>
      <c r="BW31" s="190"/>
      <c r="BX31" s="190"/>
      <c r="BY31" s="190"/>
      <c r="BZ31" s="190"/>
      <c r="CA31" s="190"/>
      <c r="CB31" s="190"/>
      <c r="CC31" s="190"/>
      <c r="CD31" s="190"/>
      <c r="CF31" s="620"/>
      <c r="CG31" s="530"/>
      <c r="CH31" s="660"/>
      <c r="CI31" s="681"/>
      <c r="CJ31" s="660"/>
      <c r="CK31" s="660"/>
      <c r="CL31" s="660"/>
      <c r="CM31" s="660"/>
      <c r="CN31" s="660"/>
      <c r="CO31" s="660"/>
      <c r="CP31" s="660"/>
      <c r="CQ31" s="660"/>
      <c r="CR31" s="530"/>
      <c r="CS31" s="620"/>
      <c r="CT31" s="530"/>
      <c r="DD31" s="190"/>
      <c r="DE31" s="620"/>
      <c r="DF31" s="530"/>
      <c r="DI31" s="660"/>
      <c r="DJ31" s="660"/>
      <c r="DK31" s="660"/>
      <c r="DL31" s="660"/>
      <c r="DM31" s="660"/>
      <c r="DN31" s="660"/>
      <c r="DO31" s="660"/>
      <c r="DP31" s="660"/>
      <c r="DQ31" s="660"/>
      <c r="DR31" s="660"/>
      <c r="DT31" s="620"/>
      <c r="DU31" s="530"/>
      <c r="DX31" s="1068"/>
      <c r="DY31" s="1068"/>
      <c r="DZ31" s="1068"/>
      <c r="EA31" s="1068"/>
      <c r="EB31" s="660"/>
      <c r="EC31" s="620"/>
      <c r="ED31" s="530"/>
      <c r="EK31" s="620"/>
      <c r="EL31" s="530"/>
      <c r="EM31" s="676"/>
      <c r="EN31" s="676"/>
      <c r="EO31" s="676"/>
      <c r="EP31" s="676"/>
      <c r="EQ31" s="676"/>
      <c r="ER31" s="676"/>
      <c r="ES31" s="676"/>
      <c r="ET31" s="676"/>
      <c r="EU31" s="742"/>
      <c r="EV31" s="676"/>
      <c r="EW31" s="676"/>
      <c r="EX31" s="676"/>
      <c r="EZ31" s="620"/>
      <c r="FA31" s="530"/>
      <c r="FF31" s="620"/>
      <c r="FG31" s="530"/>
      <c r="FH31" s="705" t="s">
        <v>414</v>
      </c>
      <c r="FI31" s="626"/>
      <c r="FJ31" s="626"/>
      <c r="FK31" s="626"/>
      <c r="FL31" s="626">
        <f>Y31+1</f>
        <v>4</v>
      </c>
      <c r="FM31" s="626">
        <f t="shared" ref="FM31" si="140">FL31+1</f>
        <v>5</v>
      </c>
      <c r="GF31" s="530"/>
      <c r="GG31" s="530"/>
      <c r="GH31" s="655" t="s">
        <v>414</v>
      </c>
      <c r="GI31" s="655">
        <v>10</v>
      </c>
      <c r="GJ31" s="655">
        <v>8</v>
      </c>
      <c r="GK31" s="655">
        <v>9</v>
      </c>
      <c r="GL31" s="655">
        <v>11</v>
      </c>
      <c r="GM31" s="655">
        <v>5</v>
      </c>
      <c r="GN31" s="655">
        <v>11</v>
      </c>
      <c r="GO31" s="655">
        <v>5</v>
      </c>
      <c r="GP31" s="655">
        <v>11</v>
      </c>
      <c r="GQ31" s="655">
        <v>3</v>
      </c>
      <c r="GZ31" s="949" t="s">
        <v>422</v>
      </c>
      <c r="HA31" s="950">
        <f>31.49*100</f>
        <v>3149</v>
      </c>
      <c r="HD31" s="565"/>
      <c r="HG31" s="565"/>
      <c r="HH31" s="565"/>
      <c r="HI31" s="565"/>
      <c r="HJ31" s="565"/>
      <c r="HK31" s="565"/>
      <c r="HL31" s="565"/>
      <c r="HM31" s="565"/>
      <c r="HT31" s="241"/>
      <c r="HU31" s="241"/>
      <c r="HZ31" s="620"/>
      <c r="IA31" s="530"/>
      <c r="IP31" s="530"/>
      <c r="JF31" s="660"/>
      <c r="JG31" s="660"/>
      <c r="JH31" s="660"/>
      <c r="JI31" s="660"/>
      <c r="JJ31" s="660"/>
      <c r="JK31" s="660"/>
      <c r="JL31" s="660"/>
      <c r="JM31" s="660"/>
      <c r="JN31" s="660"/>
      <c r="JO31" s="660"/>
    </row>
    <row r="32" spans="2:292" ht="16.5" x14ac:dyDescent="0.3">
      <c r="G32" s="620"/>
      <c r="H32" s="530"/>
      <c r="S32" s="620"/>
      <c r="T32" s="530"/>
      <c r="AA32" s="620"/>
      <c r="AB32" s="530"/>
      <c r="AH32" s="620"/>
      <c r="AI32" s="530"/>
      <c r="AJ32" s="530"/>
      <c r="AK32" s="530"/>
      <c r="AL32" s="530"/>
      <c r="BB32" s="620"/>
      <c r="BC32" s="530"/>
      <c r="BD32" s="530"/>
      <c r="BE32" s="530"/>
      <c r="BF32" s="530"/>
      <c r="BG32" s="530"/>
      <c r="BI32" s="620"/>
      <c r="BJ32" s="530"/>
      <c r="BM32" s="660"/>
      <c r="BN32" s="660"/>
      <c r="BO32" s="660"/>
      <c r="BP32" s="660"/>
      <c r="BQ32" s="660"/>
      <c r="BR32" s="660"/>
      <c r="BS32" s="660"/>
      <c r="BU32" s="620"/>
      <c r="BV32" s="623"/>
      <c r="BW32" s="190"/>
      <c r="BX32" s="190"/>
      <c r="BY32" s="190"/>
      <c r="BZ32" s="190"/>
      <c r="CA32" s="190"/>
      <c r="CB32" s="190"/>
      <c r="CC32" s="190"/>
      <c r="CD32" s="190"/>
      <c r="CF32" s="620"/>
      <c r="CG32" s="530"/>
      <c r="CH32" s="655"/>
      <c r="CI32" s="678" t="s">
        <v>414</v>
      </c>
      <c r="CJ32" s="655"/>
      <c r="CK32" s="655">
        <v>4</v>
      </c>
      <c r="CL32" s="655"/>
      <c r="CM32" s="655">
        <v>7</v>
      </c>
      <c r="CN32" s="655"/>
      <c r="CO32" s="655"/>
      <c r="CP32" s="655"/>
      <c r="CQ32" s="655">
        <v>4</v>
      </c>
      <c r="CS32" s="620"/>
      <c r="CT32" s="530"/>
      <c r="DD32" s="190"/>
      <c r="DE32" s="620"/>
      <c r="DF32" s="530"/>
      <c r="DI32" s="660"/>
      <c r="DJ32" s="660"/>
      <c r="DK32" s="660"/>
      <c r="DL32" s="660"/>
      <c r="DM32" s="660"/>
      <c r="DN32" s="660"/>
      <c r="DO32" s="660"/>
      <c r="DP32" s="660"/>
      <c r="DQ32" s="660"/>
      <c r="DR32" s="660"/>
      <c r="DT32" s="620"/>
      <c r="DU32" s="530"/>
      <c r="DX32" s="660"/>
      <c r="DY32" s="660"/>
      <c r="DZ32" s="660"/>
      <c r="EA32" s="660"/>
      <c r="EB32" s="660"/>
      <c r="EC32" s="620"/>
      <c r="ED32" s="530"/>
      <c r="EK32" s="620"/>
      <c r="EL32" s="530"/>
      <c r="EM32" s="676"/>
      <c r="EN32" s="676"/>
      <c r="EO32" s="676"/>
      <c r="EP32" s="676"/>
      <c r="EQ32" s="676"/>
      <c r="ER32" s="676"/>
      <c r="ES32" s="676"/>
      <c r="ET32" s="676"/>
      <c r="EU32" s="742"/>
      <c r="EV32" s="676"/>
      <c r="EW32" s="676"/>
      <c r="EX32" s="676"/>
      <c r="EZ32" s="620"/>
      <c r="FA32" s="530"/>
      <c r="FF32" s="620"/>
      <c r="FG32" s="530"/>
      <c r="GH32" s="655" t="s">
        <v>421</v>
      </c>
      <c r="GI32" s="655">
        <v>3</v>
      </c>
      <c r="GJ32" s="655">
        <f t="shared" ref="GJ32:GQ32" si="141">+GI32+1</f>
        <v>4</v>
      </c>
      <c r="GK32" s="655">
        <f t="shared" si="141"/>
        <v>5</v>
      </c>
      <c r="GL32" s="655">
        <f t="shared" si="141"/>
        <v>6</v>
      </c>
      <c r="GM32" s="655">
        <f t="shared" si="141"/>
        <v>7</v>
      </c>
      <c r="GN32" s="655">
        <f t="shared" si="141"/>
        <v>8</v>
      </c>
      <c r="GO32" s="655">
        <f t="shared" si="141"/>
        <v>9</v>
      </c>
      <c r="GP32" s="655">
        <f t="shared" si="141"/>
        <v>10</v>
      </c>
      <c r="GQ32" s="655">
        <f t="shared" si="141"/>
        <v>11</v>
      </c>
      <c r="HT32" s="235"/>
      <c r="HU32" s="235"/>
      <c r="HZ32" s="620"/>
      <c r="IA32" s="530"/>
      <c r="IP32" s="530"/>
      <c r="JF32" s="660"/>
      <c r="JG32" s="660"/>
      <c r="JH32" s="660"/>
      <c r="JI32" s="660"/>
      <c r="JJ32" s="660"/>
      <c r="JK32" s="660"/>
      <c r="JL32" s="660"/>
      <c r="JM32" s="660"/>
      <c r="JN32" s="660"/>
      <c r="JO32" s="660"/>
    </row>
    <row r="33" spans="7:275" ht="16.5" x14ac:dyDescent="0.3">
      <c r="G33" s="620"/>
      <c r="H33" s="530"/>
      <c r="S33" s="620"/>
      <c r="T33" s="530"/>
      <c r="AA33" s="620"/>
      <c r="AB33" s="530"/>
      <c r="AH33" s="620"/>
      <c r="AI33" s="530"/>
      <c r="AJ33" s="530"/>
      <c r="AK33" s="530"/>
      <c r="AL33" s="530"/>
      <c r="BB33" s="620"/>
      <c r="BC33" s="530"/>
      <c r="BD33" s="530"/>
      <c r="BE33" s="530"/>
      <c r="BF33" s="530"/>
      <c r="BG33" s="530"/>
      <c r="BI33" s="620"/>
      <c r="BJ33" s="530"/>
      <c r="BM33" s="705" t="s">
        <v>414</v>
      </c>
      <c r="BN33" s="705">
        <v>9</v>
      </c>
      <c r="BO33" s="705"/>
      <c r="BP33" s="705">
        <v>4</v>
      </c>
      <c r="BQ33" s="705"/>
      <c r="BR33" s="705"/>
      <c r="BS33" s="705">
        <v>4</v>
      </c>
      <c r="BU33" s="620"/>
      <c r="BV33" s="623"/>
      <c r="BW33" s="190"/>
      <c r="BX33" s="190"/>
      <c r="BY33" s="190"/>
      <c r="BZ33" s="190"/>
      <c r="CA33" s="190"/>
      <c r="CB33" s="190"/>
      <c r="CC33" s="190"/>
      <c r="CD33" s="190"/>
      <c r="CF33" s="620"/>
      <c r="CG33" s="530"/>
      <c r="CH33" s="660"/>
      <c r="CI33" s="681"/>
      <c r="CJ33" s="660"/>
      <c r="CK33" s="660"/>
      <c r="CL33" s="660"/>
      <c r="CM33" s="660"/>
      <c r="CN33" s="660"/>
      <c r="CO33" s="660"/>
      <c r="CP33" s="660"/>
      <c r="CQ33" s="660"/>
      <c r="CS33" s="620"/>
      <c r="CT33" s="530"/>
      <c r="DD33" s="190"/>
      <c r="DE33" s="620"/>
      <c r="DF33" s="530"/>
      <c r="DI33" s="655" t="s">
        <v>414</v>
      </c>
      <c r="DJ33" s="655">
        <v>8</v>
      </c>
      <c r="DK33" s="655"/>
      <c r="DL33" s="655">
        <v>7</v>
      </c>
      <c r="DM33" s="655"/>
      <c r="DN33" s="655">
        <v>4</v>
      </c>
      <c r="DO33" s="655"/>
      <c r="DP33" s="655"/>
      <c r="DQ33" s="655"/>
      <c r="DR33" s="655">
        <v>4</v>
      </c>
      <c r="DT33" s="620"/>
      <c r="DU33" s="530"/>
      <c r="DX33" s="655" t="s">
        <v>414</v>
      </c>
      <c r="DY33" s="655">
        <v>7</v>
      </c>
      <c r="DZ33" s="655"/>
      <c r="EA33" s="655">
        <v>4</v>
      </c>
      <c r="EB33" s="660"/>
      <c r="EC33" s="620"/>
      <c r="ED33" s="530"/>
      <c r="EK33" s="620"/>
      <c r="EL33" s="530"/>
      <c r="EM33" s="705"/>
      <c r="EN33" s="705"/>
      <c r="EO33" s="705" t="s">
        <v>414</v>
      </c>
      <c r="EP33" s="743">
        <v>4</v>
      </c>
      <c r="EQ33" s="743"/>
      <c r="ER33" s="743">
        <v>8</v>
      </c>
      <c r="ES33" s="743"/>
      <c r="ET33" s="743">
        <v>4</v>
      </c>
      <c r="EU33" s="744"/>
      <c r="EV33" s="743"/>
      <c r="EW33" s="743"/>
      <c r="EX33" s="743">
        <v>4</v>
      </c>
      <c r="EZ33" s="620"/>
      <c r="FA33" s="530"/>
      <c r="FF33" s="620"/>
      <c r="FG33" s="530"/>
      <c r="FS33" s="948" t="s">
        <v>414</v>
      </c>
      <c r="FT33" s="655">
        <v>8</v>
      </c>
      <c r="FU33" s="655">
        <v>7</v>
      </c>
      <c r="FV33" s="655">
        <v>7</v>
      </c>
      <c r="FW33" s="655">
        <v>9</v>
      </c>
      <c r="FX33" s="655">
        <v>4</v>
      </c>
      <c r="FY33" s="655"/>
      <c r="FZ33" s="655">
        <v>4</v>
      </c>
      <c r="GA33" s="655"/>
      <c r="GB33" s="655">
        <v>4</v>
      </c>
      <c r="HZ33" s="620"/>
      <c r="IA33" s="530"/>
      <c r="IP33" s="530"/>
      <c r="JF33" s="660"/>
      <c r="JG33" s="660"/>
      <c r="JH33" s="660"/>
      <c r="JI33" s="660"/>
      <c r="JJ33" s="660"/>
      <c r="JK33" s="660"/>
      <c r="JL33" s="660"/>
      <c r="JM33" s="660"/>
      <c r="JN33" s="660"/>
      <c r="JO33" s="660"/>
    </row>
    <row r="34" spans="7:275" ht="16.5" x14ac:dyDescent="0.3">
      <c r="G34" s="620"/>
      <c r="H34" s="530"/>
      <c r="K34" s="627" t="s">
        <v>414</v>
      </c>
      <c r="L34" s="630">
        <v>3</v>
      </c>
      <c r="M34" s="630"/>
      <c r="N34" s="630"/>
      <c r="O34" s="630"/>
      <c r="P34" s="630"/>
      <c r="Q34" s="630">
        <v>4</v>
      </c>
      <c r="S34" s="620"/>
      <c r="T34" s="530"/>
      <c r="AA34" s="620"/>
      <c r="AB34" s="530"/>
      <c r="AH34" s="620"/>
      <c r="AI34" s="530"/>
      <c r="AJ34" s="530"/>
      <c r="AK34" s="530"/>
      <c r="AL34" s="530"/>
      <c r="BB34" s="620"/>
      <c r="BC34" s="530"/>
      <c r="BD34" s="530"/>
      <c r="BE34" s="530"/>
      <c r="BF34" s="530"/>
      <c r="BG34" s="530"/>
      <c r="BI34" s="620"/>
      <c r="BJ34" s="530"/>
      <c r="BM34" s="706" t="s">
        <v>421</v>
      </c>
      <c r="BN34" s="706"/>
      <c r="BO34" s="706"/>
      <c r="BP34" s="706"/>
      <c r="BQ34" s="706"/>
      <c r="BR34" s="705"/>
      <c r="BS34" s="705"/>
      <c r="BU34" s="620"/>
      <c r="BV34" s="623"/>
      <c r="BW34" s="190"/>
      <c r="BX34" s="190"/>
      <c r="BY34" s="190"/>
      <c r="BZ34" s="190"/>
      <c r="CA34" s="190"/>
      <c r="CB34" s="190"/>
      <c r="CC34" s="190"/>
      <c r="CD34" s="190"/>
      <c r="CF34" s="620"/>
      <c r="CG34" s="530"/>
      <c r="CS34" s="620"/>
      <c r="CT34" s="530"/>
      <c r="DD34" s="190"/>
      <c r="DE34" s="620"/>
      <c r="DF34" s="530"/>
      <c r="DI34" s="660"/>
      <c r="DJ34" s="660"/>
      <c r="DK34" s="660"/>
      <c r="DL34" s="660"/>
      <c r="DM34" s="660"/>
      <c r="DN34" s="660"/>
      <c r="DO34" s="660"/>
      <c r="DP34" s="660"/>
      <c r="DQ34" s="660"/>
      <c r="DR34" s="660"/>
      <c r="DT34" s="620"/>
      <c r="DU34" s="530"/>
      <c r="DX34" s="660"/>
      <c r="DY34" s="660"/>
      <c r="DZ34" s="660"/>
      <c r="EA34" s="660"/>
      <c r="EB34" s="660"/>
      <c r="EC34" s="620"/>
      <c r="ED34" s="530"/>
      <c r="EK34" s="620"/>
      <c r="EL34" s="530"/>
      <c r="EM34" s="660"/>
      <c r="EN34" s="660"/>
      <c r="EO34" s="660"/>
      <c r="EP34" s="660"/>
      <c r="EQ34" s="660"/>
      <c r="ER34" s="660"/>
      <c r="ES34" s="660"/>
      <c r="ET34" s="660"/>
      <c r="EU34" s="660"/>
      <c r="EV34" s="660"/>
      <c r="EW34" s="660"/>
      <c r="EX34" s="660"/>
      <c r="EZ34" s="620"/>
      <c r="FA34" s="530"/>
      <c r="FF34" s="620"/>
      <c r="FG34" s="530"/>
      <c r="FS34" s="655" t="s">
        <v>421</v>
      </c>
      <c r="FT34" s="655">
        <v>1</v>
      </c>
      <c r="FU34" s="655">
        <f t="shared" ref="FU34:GB34" si="142">+FT34+1</f>
        <v>2</v>
      </c>
      <c r="FV34" s="655">
        <f t="shared" si="142"/>
        <v>3</v>
      </c>
      <c r="FW34" s="655">
        <f t="shared" si="142"/>
        <v>4</v>
      </c>
      <c r="FX34" s="655">
        <f t="shared" si="142"/>
        <v>5</v>
      </c>
      <c r="FY34" s="655">
        <v>9</v>
      </c>
      <c r="FZ34" s="655">
        <f t="shared" si="142"/>
        <v>10</v>
      </c>
      <c r="GA34" s="655">
        <f t="shared" si="142"/>
        <v>11</v>
      </c>
      <c r="GB34" s="655">
        <f t="shared" si="142"/>
        <v>12</v>
      </c>
      <c r="GW34" s="780" t="s">
        <v>420</v>
      </c>
      <c r="GX34" s="782">
        <v>4</v>
      </c>
      <c r="GY34" s="782">
        <v>10</v>
      </c>
      <c r="GZ34" s="782">
        <v>11</v>
      </c>
      <c r="HA34" s="782"/>
      <c r="HB34" s="782"/>
      <c r="HC34" s="782"/>
      <c r="HD34" s="209"/>
      <c r="HG34" s="209"/>
      <c r="HH34" s="209"/>
      <c r="HI34" s="209"/>
      <c r="HJ34" s="209"/>
      <c r="HK34" s="209"/>
      <c r="HL34" s="209"/>
      <c r="HM34" s="209"/>
      <c r="HU34" s="465"/>
      <c r="HZ34" s="620"/>
      <c r="IA34" s="530"/>
      <c r="IP34" s="530"/>
      <c r="JF34" s="660"/>
      <c r="JG34" s="660"/>
      <c r="JH34" s="660"/>
      <c r="JI34" s="660"/>
      <c r="JJ34" s="660"/>
      <c r="JK34" s="660"/>
      <c r="JL34" s="660"/>
      <c r="JM34" s="660"/>
      <c r="JN34" s="660"/>
      <c r="JO34" s="660"/>
    </row>
    <row r="35" spans="7:275" ht="16.5" x14ac:dyDescent="0.3">
      <c r="G35" s="620"/>
      <c r="H35" s="530"/>
      <c r="L35" s="209"/>
      <c r="M35" s="209"/>
      <c r="N35" s="209"/>
      <c r="O35" s="209"/>
      <c r="P35" s="209"/>
      <c r="Q35" s="209"/>
      <c r="S35" s="620"/>
      <c r="T35" s="530"/>
      <c r="AA35" s="620"/>
      <c r="AB35" s="530"/>
      <c r="AH35" s="620"/>
      <c r="AI35" s="530"/>
      <c r="AJ35" s="530"/>
      <c r="AK35" s="530"/>
      <c r="AL35" s="530"/>
      <c r="BB35" s="620"/>
      <c r="BC35" s="530"/>
      <c r="BI35" s="620"/>
      <c r="BJ35" s="530"/>
      <c r="BM35" s="660"/>
      <c r="BN35" s="660"/>
      <c r="BO35" s="660"/>
      <c r="BP35" s="660"/>
      <c r="BQ35" s="660"/>
      <c r="BR35" s="660"/>
      <c r="BS35" s="660"/>
      <c r="BU35" s="620"/>
      <c r="BV35" s="623"/>
      <c r="BW35" s="190"/>
      <c r="BX35" s="190"/>
      <c r="BY35" s="190"/>
      <c r="BZ35" s="190"/>
      <c r="CA35" s="190"/>
      <c r="CB35" s="190"/>
      <c r="CC35" s="190"/>
      <c r="CD35" s="190"/>
      <c r="CF35" s="620"/>
      <c r="CG35" s="530"/>
      <c r="CS35" s="620"/>
      <c r="CT35" s="530"/>
      <c r="DD35" s="190"/>
      <c r="DE35" s="620"/>
      <c r="DT35" s="620"/>
      <c r="EC35" s="620"/>
      <c r="ED35" s="530"/>
      <c r="EK35" s="620"/>
      <c r="EL35" s="530"/>
      <c r="EZ35" s="620"/>
      <c r="FA35" s="530"/>
      <c r="FF35" s="620"/>
      <c r="GW35" s="706" t="s">
        <v>415</v>
      </c>
      <c r="GX35" s="782">
        <v>2</v>
      </c>
      <c r="GY35" s="782">
        <f>GX35+1</f>
        <v>3</v>
      </c>
      <c r="GZ35" s="782">
        <f t="shared" ref="GZ35:HC35" si="143">GY35+1</f>
        <v>4</v>
      </c>
      <c r="HA35" s="782">
        <f t="shared" si="143"/>
        <v>5</v>
      </c>
      <c r="HB35" s="782">
        <f t="shared" si="143"/>
        <v>6</v>
      </c>
      <c r="HC35" s="782">
        <f t="shared" si="143"/>
        <v>7</v>
      </c>
      <c r="HD35" s="209"/>
      <c r="HG35" s="209"/>
      <c r="HH35" s="209"/>
      <c r="HI35" s="209"/>
      <c r="HJ35" s="209"/>
      <c r="HK35" s="209"/>
      <c r="HL35" s="209"/>
      <c r="HM35" s="209"/>
      <c r="HU35" s="236"/>
      <c r="HZ35" s="620"/>
      <c r="IA35" s="530"/>
      <c r="IP35" s="530"/>
    </row>
    <row r="36" spans="7:275" x14ac:dyDescent="0.25">
      <c r="L36" s="209"/>
      <c r="M36" s="209"/>
      <c r="N36" s="209"/>
      <c r="O36" s="209"/>
      <c r="P36" s="209"/>
      <c r="Q36" s="209"/>
      <c r="AM36" s="631"/>
      <c r="AN36" s="632"/>
      <c r="BV36" s="190"/>
      <c r="BW36" s="190"/>
      <c r="BX36" s="190"/>
      <c r="BY36" s="190"/>
      <c r="BZ36" s="190"/>
      <c r="CA36" s="190"/>
      <c r="CB36" s="190"/>
      <c r="CC36" s="190"/>
      <c r="CD36" s="190"/>
      <c r="CG36" s="530"/>
      <c r="DD36" s="190"/>
    </row>
    <row r="37" spans="7:275" x14ac:dyDescent="0.25">
      <c r="BV37" s="190"/>
      <c r="BW37" s="190"/>
      <c r="BX37" s="190"/>
      <c r="BY37" s="190"/>
      <c r="BZ37" s="190"/>
      <c r="CA37" s="190"/>
      <c r="CB37" s="190"/>
      <c r="CC37" s="190"/>
      <c r="CD37" s="190"/>
      <c r="DD37" s="190"/>
    </row>
    <row r="38" spans="7:275" x14ac:dyDescent="0.25">
      <c r="BV38" s="190"/>
      <c r="BW38" s="190"/>
      <c r="BX38" s="190"/>
      <c r="BY38" s="190"/>
      <c r="BZ38" s="190"/>
      <c r="CA38" s="190"/>
      <c r="CB38" s="190"/>
      <c r="CC38" s="190"/>
      <c r="CD38" s="190"/>
      <c r="DD38" s="190"/>
    </row>
    <row r="39" spans="7:275" x14ac:dyDescent="0.25">
      <c r="BV39" s="190"/>
      <c r="BW39" s="190"/>
      <c r="BX39" s="190"/>
      <c r="BY39" s="190"/>
      <c r="BZ39" s="190"/>
      <c r="CA39" s="190"/>
      <c r="CB39" s="190"/>
      <c r="CC39" s="190"/>
      <c r="CD39" s="190"/>
      <c r="DD39" s="190"/>
    </row>
    <row r="40" spans="7:275" x14ac:dyDescent="0.25">
      <c r="BV40" s="190"/>
      <c r="BW40" s="190"/>
      <c r="BX40" s="190"/>
      <c r="BY40" s="190"/>
      <c r="BZ40" s="190"/>
      <c r="CA40" s="190"/>
      <c r="CB40" s="190"/>
      <c r="CC40" s="190"/>
      <c r="CD40" s="190"/>
      <c r="DD40" s="190"/>
    </row>
    <row r="41" spans="7:275" x14ac:dyDescent="0.25">
      <c r="BV41" s="190"/>
      <c r="BW41" s="190"/>
      <c r="BX41" s="190"/>
      <c r="BY41" s="190"/>
      <c r="BZ41" s="190"/>
      <c r="CA41" s="190"/>
      <c r="CB41" s="190"/>
      <c r="CC41" s="190"/>
      <c r="CD41" s="190"/>
      <c r="DD41" s="190"/>
    </row>
    <row r="42" spans="7:275" x14ac:dyDescent="0.25">
      <c r="BV42" s="190"/>
      <c r="BW42" s="190"/>
      <c r="BX42" s="190"/>
      <c r="BY42" s="190"/>
      <c r="BZ42" s="190"/>
      <c r="CA42" s="190"/>
      <c r="CB42" s="190"/>
      <c r="CC42" s="190"/>
      <c r="CD42" s="190"/>
      <c r="DD42" s="190"/>
    </row>
    <row r="43" spans="7:275" x14ac:dyDescent="0.25">
      <c r="BV43" s="190"/>
      <c r="BW43" s="190"/>
      <c r="BX43" s="190"/>
      <c r="BY43" s="190"/>
      <c r="BZ43" s="190"/>
      <c r="CA43" s="190"/>
      <c r="CB43" s="190"/>
      <c r="CC43" s="190"/>
      <c r="CD43" s="190"/>
      <c r="DD43" s="190"/>
    </row>
    <row r="44" spans="7:275" x14ac:dyDescent="0.25">
      <c r="BV44" s="190"/>
      <c r="BW44" s="190"/>
      <c r="BX44" s="190"/>
      <c r="BY44" s="190"/>
      <c r="BZ44" s="190"/>
      <c r="CA44" s="190"/>
      <c r="CB44" s="190"/>
      <c r="CC44" s="190"/>
      <c r="CD44" s="190"/>
      <c r="DD44" s="190"/>
    </row>
    <row r="45" spans="7:275" x14ac:dyDescent="0.25">
      <c r="BV45" s="190"/>
      <c r="BW45" s="190"/>
      <c r="BX45" s="190"/>
      <c r="BY45" s="190"/>
      <c r="BZ45" s="190"/>
      <c r="CA45" s="190"/>
      <c r="CB45" s="190"/>
      <c r="CC45" s="190"/>
      <c r="CD45" s="190"/>
      <c r="DD45" s="190"/>
    </row>
    <row r="46" spans="7:275" x14ac:dyDescent="0.25">
      <c r="BV46" s="190"/>
      <c r="BW46" s="190"/>
      <c r="BX46" s="190"/>
      <c r="BY46" s="190"/>
      <c r="BZ46" s="190"/>
      <c r="CA46" s="190"/>
      <c r="CB46" s="190"/>
      <c r="CC46" s="190"/>
      <c r="CD46" s="190"/>
      <c r="DD46" s="190"/>
    </row>
    <row r="47" spans="7:275" x14ac:dyDescent="0.25">
      <c r="BV47" s="190"/>
      <c r="BW47" s="190"/>
      <c r="BX47" s="190"/>
      <c r="BY47" s="190"/>
      <c r="BZ47" s="190"/>
      <c r="CA47" s="190"/>
      <c r="CB47" s="190"/>
      <c r="CC47" s="190"/>
      <c r="CD47" s="190"/>
      <c r="DD47" s="190"/>
    </row>
    <row r="48" spans="7:275" x14ac:dyDescent="0.25">
      <c r="BV48" s="190"/>
      <c r="BW48" s="190"/>
      <c r="BX48" s="190"/>
      <c r="BY48" s="190"/>
      <c r="BZ48" s="190"/>
      <c r="CA48" s="190"/>
      <c r="CB48" s="190"/>
      <c r="CC48" s="190"/>
      <c r="CD48" s="190"/>
      <c r="DD48" s="190"/>
    </row>
    <row r="49" spans="74:108" x14ac:dyDescent="0.25">
      <c r="BV49" s="190"/>
      <c r="BW49" s="190"/>
      <c r="BX49" s="190"/>
      <c r="BY49" s="190"/>
      <c r="BZ49" s="190"/>
      <c r="CA49" s="190"/>
      <c r="CB49" s="190"/>
      <c r="CC49" s="190"/>
      <c r="CD49" s="190"/>
      <c r="DD49" s="190"/>
    </row>
    <row r="50" spans="74:108" x14ac:dyDescent="0.25">
      <c r="BV50" s="190"/>
      <c r="BW50" s="190"/>
      <c r="BX50" s="190"/>
      <c r="BY50" s="190"/>
      <c r="BZ50" s="190"/>
      <c r="CA50" s="190"/>
      <c r="CB50" s="190"/>
      <c r="CC50" s="190"/>
      <c r="CD50" s="190"/>
      <c r="DD50" s="190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DG1:DR1"/>
    <mergeCell ref="A1:E1"/>
    <mergeCell ref="I1:Q1"/>
    <mergeCell ref="U1:Y1"/>
    <mergeCell ref="AC1:AF1"/>
    <mergeCell ref="AJ1:AL1"/>
    <mergeCell ref="AP1:AZ1"/>
    <mergeCell ref="BD1:BG1"/>
    <mergeCell ref="BK1:BS1"/>
    <mergeCell ref="BW1:CD1"/>
    <mergeCell ref="CH1:CQ1"/>
    <mergeCell ref="CU1:DC1"/>
  </mergeCells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68B1-7B04-4BC2-B7F9-2B23FEAB0461}">
  <sheetPr>
    <tabColor rgb="FF92D050"/>
    <pageSetUpPr autoPageBreaks="0"/>
  </sheetPr>
  <dimension ref="A1:KF50"/>
  <sheetViews>
    <sheetView zoomScale="90" zoomScaleNormal="90" workbookViewId="0">
      <selection activeCell="E37" sqref="E37"/>
    </sheetView>
  </sheetViews>
  <sheetFormatPr defaultColWidth="9.85546875" defaultRowHeight="15" x14ac:dyDescent="0.25"/>
  <cols>
    <col min="1" max="1" width="8.42578125" style="12" customWidth="1"/>
    <col min="2" max="2" width="35.7109375" style="12" customWidth="1"/>
    <col min="3" max="3" width="23.42578125" style="12" customWidth="1"/>
    <col min="4" max="4" width="20.7109375" style="12" customWidth="1"/>
    <col min="5" max="5" width="20.42578125" style="12" customWidth="1"/>
    <col min="6" max="6" width="3.85546875" style="12" customWidth="1"/>
    <col min="7" max="7" width="3.85546875" style="528" customWidth="1"/>
    <col min="8" max="9" width="3.85546875" style="12" customWidth="1"/>
    <col min="10" max="10" width="11.140625" style="12" customWidth="1"/>
    <col min="11" max="11" width="36" style="12" customWidth="1"/>
    <col min="12" max="12" width="19.85546875" style="12" customWidth="1"/>
    <col min="13" max="15" width="13.7109375" style="12" customWidth="1"/>
    <col min="16" max="16" width="16.85546875" style="12" customWidth="1"/>
    <col min="17" max="17" width="14.28515625" style="12" customWidth="1"/>
    <col min="18" max="18" width="3.85546875" style="12" customWidth="1"/>
    <col min="19" max="19" width="3.85546875" style="528" customWidth="1"/>
    <col min="20" max="21" width="3.85546875" style="12" customWidth="1"/>
    <col min="22" max="22" width="10.7109375" style="12" customWidth="1"/>
    <col min="23" max="23" width="33.42578125" style="12" bestFit="1" customWidth="1"/>
    <col min="24" max="24" width="17.42578125" style="12" customWidth="1"/>
    <col min="25" max="25" width="10.85546875" style="12" customWidth="1"/>
    <col min="26" max="26" width="3.85546875" style="12" customWidth="1"/>
    <col min="27" max="27" width="3.85546875" style="528" customWidth="1"/>
    <col min="28" max="28" width="3.85546875" style="12" customWidth="1"/>
    <col min="29" max="30" width="9.42578125" style="12" customWidth="1"/>
    <col min="31" max="31" width="36.5703125" style="12" customWidth="1"/>
    <col min="32" max="32" width="15.85546875" style="12" customWidth="1"/>
    <col min="33" max="33" width="3.85546875" style="12" customWidth="1"/>
    <col min="34" max="34" width="3.85546875" style="528" customWidth="1"/>
    <col min="35" max="35" width="3.85546875" style="12" customWidth="1"/>
    <col min="36" max="36" width="4.85546875" style="12" customWidth="1"/>
    <col min="37" max="37" width="62.28515625" style="12" customWidth="1"/>
    <col min="38" max="38" width="12.5703125" style="12" customWidth="1"/>
    <col min="39" max="39" width="3.85546875" style="12" customWidth="1"/>
    <col min="40" max="40" width="3.85546875" style="528" customWidth="1"/>
    <col min="41" max="41" width="3.85546875" style="12" customWidth="1"/>
    <col min="42" max="42" width="5" style="12" customWidth="1"/>
    <col min="43" max="43" width="10.42578125" style="12" customWidth="1"/>
    <col min="44" max="44" width="29.140625" style="12" customWidth="1"/>
    <col min="45" max="45" width="15.85546875" style="12" customWidth="1"/>
    <col min="46" max="46" width="15.140625" style="12" bestFit="1" customWidth="1"/>
    <col min="47" max="47" width="20" style="12" bestFit="1" customWidth="1"/>
    <col min="48" max="48" width="18.28515625" style="12" bestFit="1" customWidth="1"/>
    <col min="49" max="49" width="15.140625" style="12" bestFit="1" customWidth="1"/>
    <col min="50" max="50" width="19.42578125" style="12" customWidth="1"/>
    <col min="51" max="51" width="18.5703125" style="12" hidden="1" customWidth="1"/>
    <col min="52" max="52" width="14.85546875" style="12" hidden="1" customWidth="1"/>
    <col min="53" max="53" width="3.85546875" style="12" customWidth="1"/>
    <col min="54" max="54" width="3.85546875" style="528" customWidth="1"/>
    <col min="55" max="55" width="3.85546875" style="12" customWidth="1"/>
    <col min="56" max="56" width="4.42578125" style="12" bestFit="1" customWidth="1"/>
    <col min="57" max="57" width="34.42578125" style="12" bestFit="1" customWidth="1"/>
    <col min="58" max="58" width="12.5703125" style="12" bestFit="1" customWidth="1"/>
    <col min="59" max="59" width="14.28515625" style="12" bestFit="1" customWidth="1"/>
    <col min="60" max="60" width="3.85546875" style="12" customWidth="1"/>
    <col min="61" max="61" width="3.85546875" style="528" customWidth="1"/>
    <col min="62" max="62" width="3.85546875" style="12" customWidth="1"/>
    <col min="63" max="63" width="5.42578125" style="12" customWidth="1"/>
    <col min="64" max="64" width="11.140625" style="12" customWidth="1"/>
    <col min="65" max="65" width="36.5703125" style="12" customWidth="1"/>
    <col min="66" max="66" width="17.5703125" style="12" customWidth="1"/>
    <col min="67" max="67" width="19.5703125" style="12" customWidth="1"/>
    <col min="68" max="71" width="15.85546875" style="12" customWidth="1"/>
    <col min="72" max="72" width="3.85546875" style="12" customWidth="1"/>
    <col min="73" max="73" width="3.85546875" style="528" customWidth="1"/>
    <col min="74" max="74" width="3.85546875" style="12" customWidth="1"/>
    <col min="75" max="75" width="4.7109375" style="12" customWidth="1"/>
    <col min="76" max="76" width="18" style="12" bestFit="1" customWidth="1"/>
    <col min="77" max="77" width="13.7109375" style="12" customWidth="1"/>
    <col min="78" max="78" width="14.140625" style="12" customWidth="1"/>
    <col min="79" max="82" width="14.85546875" style="12" customWidth="1"/>
    <col min="83" max="83" width="3.85546875" style="12" customWidth="1"/>
    <col min="84" max="84" width="3.85546875" style="528" customWidth="1"/>
    <col min="85" max="85" width="3.85546875" style="12" customWidth="1"/>
    <col min="86" max="86" width="4.7109375" style="12" customWidth="1"/>
    <col min="87" max="87" width="10.42578125" style="60" customWidth="1"/>
    <col min="88" max="88" width="33.85546875" style="12" customWidth="1"/>
    <col min="89" max="95" width="15.42578125" style="12" customWidth="1"/>
    <col min="96" max="96" width="3.85546875" style="12" customWidth="1"/>
    <col min="97" max="97" width="3.85546875" style="528" customWidth="1"/>
    <col min="98" max="98" width="3.85546875" style="12" customWidth="1"/>
    <col min="99" max="99" width="4.42578125" style="12" customWidth="1"/>
    <col min="100" max="100" width="28.5703125" style="12" bestFit="1" customWidth="1"/>
    <col min="101" max="104" width="12.5703125" style="12" customWidth="1"/>
    <col min="105" max="105" width="15.85546875" style="12" customWidth="1"/>
    <col min="106" max="107" width="19.140625" style="12" customWidth="1"/>
    <col min="108" max="108" width="3.85546875" style="12" customWidth="1"/>
    <col min="109" max="109" width="3.85546875" style="528" customWidth="1"/>
    <col min="110" max="110" width="3.85546875" style="12" customWidth="1"/>
    <col min="111" max="111" width="5.5703125" style="12" customWidth="1"/>
    <col min="112" max="112" width="10.85546875" style="12" customWidth="1"/>
    <col min="113" max="113" width="32.85546875" style="12" customWidth="1"/>
    <col min="114" max="114" width="12.5703125" style="12" customWidth="1"/>
    <col min="115" max="115" width="14.85546875" style="12" customWidth="1"/>
    <col min="116" max="116" width="15.85546875" style="12" customWidth="1"/>
    <col min="117" max="117" width="14.85546875" style="12" customWidth="1"/>
    <col min="118" max="118" width="12.5703125" style="12" customWidth="1"/>
    <col min="119" max="119" width="14.85546875" style="12" customWidth="1"/>
    <col min="120" max="120" width="15.85546875" style="12" customWidth="1"/>
    <col min="121" max="121" width="12.5703125" style="12" customWidth="1"/>
    <col min="122" max="122" width="14.7109375" style="12" customWidth="1"/>
    <col min="123" max="123" width="3.85546875" style="12" customWidth="1"/>
    <col min="124" max="124" width="3.85546875" style="528" customWidth="1"/>
    <col min="125" max="125" width="3.85546875" style="12" customWidth="1"/>
    <col min="126" max="126" width="5.85546875" style="12" customWidth="1"/>
    <col min="127" max="127" width="10.5703125" style="12" customWidth="1"/>
    <col min="128" max="128" width="36.140625" style="12" customWidth="1"/>
    <col min="129" max="129" width="15.85546875" style="12" customWidth="1"/>
    <col min="130" max="130" width="15.28515625" style="12" customWidth="1"/>
    <col min="131" max="131" width="14.7109375" style="12" customWidth="1"/>
    <col min="132" max="132" width="3.85546875" style="12" customWidth="1"/>
    <col min="133" max="133" width="3.85546875" style="528" customWidth="1"/>
    <col min="134" max="134" width="3.85546875" style="12" customWidth="1"/>
    <col min="135" max="135" width="4.42578125" style="12" customWidth="1"/>
    <col min="136" max="137" width="13.7109375" style="12" customWidth="1"/>
    <col min="138" max="138" width="12.5703125" style="12" customWidth="1"/>
    <col min="139" max="139" width="14.140625" style="12" customWidth="1"/>
    <col min="140" max="140" width="3.85546875" style="12" customWidth="1"/>
    <col min="141" max="141" width="3.85546875" style="528" customWidth="1"/>
    <col min="142" max="142" width="3.85546875" style="12" customWidth="1"/>
    <col min="143" max="143" width="5.42578125" style="12" customWidth="1"/>
    <col min="144" max="144" width="11.140625" style="12" customWidth="1"/>
    <col min="145" max="145" width="32.85546875" style="12" customWidth="1"/>
    <col min="146" max="146" width="13.7109375" style="12" customWidth="1"/>
    <col min="147" max="147" width="14.85546875" style="12" bestFit="1" customWidth="1"/>
    <col min="148" max="151" width="13.7109375" style="12" customWidth="1"/>
    <col min="152" max="152" width="14.85546875" style="12" customWidth="1"/>
    <col min="153" max="154" width="13.7109375" style="12" customWidth="1"/>
    <col min="155" max="155" width="3.85546875" style="12" customWidth="1"/>
    <col min="156" max="156" width="3.85546875" style="528" customWidth="1"/>
    <col min="157" max="157" width="3.85546875" style="12" customWidth="1"/>
    <col min="158" max="158" width="5" style="12" customWidth="1"/>
    <col min="159" max="159" width="31.7109375" style="12" customWidth="1"/>
    <col min="160" max="160" width="20.28515625" style="12" customWidth="1"/>
    <col min="161" max="161" width="3.85546875" style="12" customWidth="1"/>
    <col min="162" max="162" width="3.85546875" style="528" customWidth="1"/>
    <col min="163" max="163" width="3.85546875" style="12" customWidth="1"/>
    <col min="164" max="164" width="5.140625" style="12" customWidth="1"/>
    <col min="165" max="165" width="10.85546875" style="12" customWidth="1"/>
    <col min="166" max="166" width="38.140625" style="12" customWidth="1"/>
    <col min="167" max="167" width="11.5703125" style="12" customWidth="1"/>
    <col min="168" max="168" width="19.140625" style="12" customWidth="1"/>
    <col min="169" max="169" width="14.85546875" style="12" customWidth="1"/>
    <col min="170" max="170" width="3.85546875" style="12" customWidth="1"/>
    <col min="171" max="171" width="3.85546875" style="528" customWidth="1"/>
    <col min="172" max="172" width="3.85546875" style="12" customWidth="1"/>
    <col min="173" max="173" width="5.42578125" style="12" customWidth="1"/>
    <col min="174" max="174" width="10.140625" style="12" customWidth="1"/>
    <col min="175" max="175" width="36" style="12" customWidth="1"/>
    <col min="176" max="176" width="16.42578125" style="12" bestFit="1" customWidth="1"/>
    <col min="177" max="177" width="15.85546875" style="12" bestFit="1" customWidth="1"/>
    <col min="178" max="178" width="15.42578125" style="12" bestFit="1" customWidth="1"/>
    <col min="179" max="179" width="14.85546875" style="12" bestFit="1" customWidth="1"/>
    <col min="180" max="180" width="14.28515625" style="12" bestFit="1" customWidth="1"/>
    <col min="181" max="181" width="15.42578125" style="12" bestFit="1" customWidth="1"/>
    <col min="182" max="182" width="15.85546875" style="12" bestFit="1" customWidth="1"/>
    <col min="183" max="183" width="17" style="12" bestFit="1" customWidth="1"/>
    <col min="184" max="184" width="14.7109375" style="12" customWidth="1"/>
    <col min="185" max="185" width="2.85546875" style="12" customWidth="1"/>
    <col min="186" max="186" width="3.85546875" style="528" customWidth="1"/>
    <col min="187" max="187" width="3.85546875" style="12" customWidth="1"/>
    <col min="188" max="188" width="5.140625" style="12" customWidth="1"/>
    <col min="189" max="189" width="10.42578125" style="12" customWidth="1"/>
    <col min="190" max="190" width="36" style="12" customWidth="1"/>
    <col min="191" max="191" width="17.140625" style="12" customWidth="1"/>
    <col min="192" max="196" width="15.85546875" style="12" customWidth="1"/>
    <col min="197" max="197" width="23.7109375" style="12" customWidth="1"/>
    <col min="198" max="198" width="15.85546875" style="12" customWidth="1"/>
    <col min="199" max="199" width="19.140625" style="12" bestFit="1" customWidth="1"/>
    <col min="200" max="200" width="4.42578125" style="12" customWidth="1"/>
    <col min="201" max="201" width="3.85546875" style="528" customWidth="1"/>
    <col min="202" max="202" width="3.85546875" style="12" customWidth="1"/>
    <col min="203" max="203" width="5.7109375" style="12" customWidth="1"/>
    <col min="204" max="204" width="10.5703125" style="12" customWidth="1"/>
    <col min="205" max="205" width="33.28515625" style="12" customWidth="1"/>
    <col min="206" max="206" width="15.42578125" style="12" customWidth="1"/>
    <col min="207" max="207" width="17" style="12" bestFit="1" customWidth="1"/>
    <col min="208" max="208" width="19.140625" style="12" customWidth="1"/>
    <col min="209" max="209" width="14.85546875" style="12" customWidth="1"/>
    <col min="210" max="210" width="17" style="12" bestFit="1" customWidth="1"/>
    <col min="211" max="211" width="17" style="12" customWidth="1"/>
    <col min="212" max="212" width="2.85546875" style="12" customWidth="1"/>
    <col min="213" max="213" width="3.85546875" style="528" customWidth="1"/>
    <col min="214" max="214" width="3.85546875" style="12" customWidth="1"/>
    <col min="215" max="215" width="5.5703125" style="12" customWidth="1"/>
    <col min="216" max="216" width="14.85546875" style="12" customWidth="1"/>
    <col min="217" max="217" width="16.85546875" style="12" bestFit="1" customWidth="1"/>
    <col min="218" max="218" width="14.85546875" style="12" customWidth="1"/>
    <col min="219" max="219" width="16.85546875" style="12" bestFit="1" customWidth="1"/>
    <col min="220" max="220" width="13.7109375" style="12" customWidth="1"/>
    <col min="221" max="221" width="2.85546875" style="12" customWidth="1"/>
    <col min="222" max="222" width="3.85546875" style="528" customWidth="1"/>
    <col min="223" max="223" width="3.85546875" style="12" customWidth="1"/>
    <col min="224" max="224" width="7.140625" style="12" customWidth="1"/>
    <col min="225" max="225" width="9.85546875" style="12" customWidth="1"/>
    <col min="226" max="226" width="31.140625" style="12" bestFit="1" customWidth="1"/>
    <col min="227" max="227" width="15.5703125" style="12" customWidth="1"/>
    <col min="228" max="228" width="20.85546875" style="12" customWidth="1"/>
    <col min="229" max="229" width="22.140625" style="12" customWidth="1"/>
    <col min="230" max="230" width="11" style="12" customWidth="1"/>
    <col min="231" max="231" width="10.42578125" style="12" customWidth="1"/>
    <col min="232" max="232" width="15.85546875" style="12" customWidth="1"/>
    <col min="233" max="233" width="3.85546875" style="12" customWidth="1"/>
    <col min="234" max="234" width="3.85546875" style="528" customWidth="1"/>
    <col min="235" max="235" width="3.85546875" style="12" customWidth="1"/>
    <col min="236" max="237" width="13.42578125" style="12" bestFit="1" customWidth="1"/>
    <col min="238" max="238" width="16.42578125" style="12" bestFit="1" customWidth="1"/>
    <col min="239" max="239" width="9.85546875" style="12" bestFit="1" customWidth="1"/>
    <col min="240" max="240" width="21.85546875" style="12" bestFit="1" customWidth="1"/>
    <col min="241" max="241" width="13.42578125" style="12" bestFit="1" customWidth="1"/>
    <col min="242" max="242" width="12.5703125" style="12" bestFit="1" customWidth="1"/>
    <col min="243" max="243" width="21.5703125" style="12" customWidth="1"/>
    <col min="244" max="244" width="12.42578125" style="12" bestFit="1" customWidth="1"/>
    <col min="245" max="245" width="11.28515625" style="12" bestFit="1" customWidth="1"/>
    <col min="246" max="246" width="13.140625" style="12" bestFit="1" customWidth="1"/>
    <col min="247" max="247" width="3.85546875" style="528" customWidth="1"/>
    <col min="248" max="248" width="13.7109375" style="12" bestFit="1" customWidth="1"/>
    <col min="249" max="249" width="4.42578125" style="12" bestFit="1" customWidth="1"/>
    <col min="250" max="250" width="9" style="12" bestFit="1" customWidth="1"/>
    <col min="251" max="251" width="32.5703125" style="12" customWidth="1"/>
    <col min="252" max="252" width="17.140625" style="12" customWidth="1"/>
    <col min="253" max="253" width="16.42578125" style="12" customWidth="1"/>
    <col min="254" max="255" width="18.85546875" style="12" customWidth="1"/>
    <col min="256" max="256" width="21.28515625" style="12" customWidth="1"/>
    <col min="257" max="257" width="20.42578125" style="12" customWidth="1"/>
    <col min="258" max="258" width="20" style="12" customWidth="1"/>
    <col min="259" max="259" width="15.28515625" style="12" customWidth="1"/>
    <col min="260" max="260" width="13.85546875" style="12" customWidth="1"/>
    <col min="261" max="261" width="16.85546875" style="12" customWidth="1"/>
    <col min="262" max="262" width="9.5703125" style="12" customWidth="1"/>
    <col min="263" max="263" width="9.85546875" style="12"/>
    <col min="264" max="264" width="3.85546875" style="528" customWidth="1"/>
    <col min="265" max="265" width="9.85546875" style="12"/>
    <col min="266" max="266" width="11" style="12" bestFit="1" customWidth="1"/>
    <col min="267" max="267" width="9.42578125" style="12" bestFit="1" customWidth="1"/>
    <col min="268" max="268" width="32.28515625" style="12" customWidth="1"/>
    <col min="269" max="269" width="18" style="12" customWidth="1"/>
    <col min="270" max="270" width="19.42578125" style="12" customWidth="1"/>
    <col min="271" max="271" width="15.5703125" style="12" bestFit="1" customWidth="1"/>
    <col min="272" max="272" width="8.28515625" style="12" bestFit="1" customWidth="1"/>
    <col min="273" max="273" width="11.85546875" style="12" customWidth="1"/>
    <col min="274" max="274" width="13.7109375" style="12" customWidth="1"/>
    <col min="275" max="276" width="9.85546875" style="12"/>
    <col min="277" max="277" width="3.85546875" style="528" customWidth="1"/>
    <col min="279" max="279" width="13.85546875" customWidth="1"/>
    <col min="280" max="280" width="11.7109375" customWidth="1"/>
    <col min="281" max="281" width="14" bestFit="1" customWidth="1"/>
    <col min="282" max="282" width="11.7109375" customWidth="1"/>
    <col min="284" max="284" width="14.140625" bestFit="1" customWidth="1"/>
    <col min="285" max="285" width="13.28515625" bestFit="1" customWidth="1"/>
    <col min="287" max="287" width="17" customWidth="1"/>
    <col min="288" max="288" width="14.5703125" bestFit="1" customWidth="1"/>
    <col min="291" max="291" width="20.85546875" customWidth="1"/>
    <col min="292" max="292" width="13.28515625" bestFit="1" customWidth="1"/>
  </cols>
  <sheetData>
    <row r="1" spans="1:292" s="516" customFormat="1" ht="16.5" x14ac:dyDescent="0.3">
      <c r="A1" s="1063" t="s">
        <v>258</v>
      </c>
      <c r="B1" s="1063"/>
      <c r="C1" s="1063"/>
      <c r="D1" s="1063"/>
      <c r="E1" s="1063"/>
      <c r="F1" s="510"/>
      <c r="G1" s="511"/>
      <c r="H1" s="510"/>
      <c r="I1" s="1064" t="s">
        <v>259</v>
      </c>
      <c r="J1" s="1064"/>
      <c r="K1" s="1064"/>
      <c r="L1" s="1064"/>
      <c r="M1" s="1064"/>
      <c r="N1" s="1064"/>
      <c r="O1" s="1064"/>
      <c r="P1" s="1064"/>
      <c r="Q1" s="1064"/>
      <c r="R1" s="510"/>
      <c r="S1" s="511"/>
      <c r="T1" s="510"/>
      <c r="U1" s="1064" t="s">
        <v>260</v>
      </c>
      <c r="V1" s="1064"/>
      <c r="W1" s="1064"/>
      <c r="X1" s="1064"/>
      <c r="Y1" s="1064"/>
      <c r="Z1" s="510"/>
      <c r="AA1" s="511"/>
      <c r="AB1" s="510"/>
      <c r="AC1" s="1063" t="s">
        <v>261</v>
      </c>
      <c r="AD1" s="1063"/>
      <c r="AE1" s="1063"/>
      <c r="AF1" s="1063"/>
      <c r="AG1" s="512"/>
      <c r="AH1" s="511"/>
      <c r="AI1" s="510"/>
      <c r="AJ1" s="1065" t="s">
        <v>262</v>
      </c>
      <c r="AK1" s="1065"/>
      <c r="AL1" s="1065"/>
      <c r="AM1" s="5"/>
      <c r="AN1" s="513"/>
      <c r="AO1" s="5"/>
      <c r="AP1" s="1066" t="s">
        <v>263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510"/>
      <c r="BB1" s="511"/>
      <c r="BC1" s="510"/>
      <c r="BD1" s="1065" t="s">
        <v>264</v>
      </c>
      <c r="BE1" s="1065"/>
      <c r="BF1" s="1065"/>
      <c r="BG1" s="1065"/>
      <c r="BH1" s="510"/>
      <c r="BI1" s="511"/>
      <c r="BJ1" s="510"/>
      <c r="BK1" s="1067" t="s">
        <v>265</v>
      </c>
      <c r="BL1" s="1067"/>
      <c r="BM1" s="1067"/>
      <c r="BN1" s="1067"/>
      <c r="BO1" s="1067"/>
      <c r="BP1" s="1067"/>
      <c r="BQ1" s="1067"/>
      <c r="BR1" s="1067"/>
      <c r="BS1" s="1067"/>
      <c r="BT1" s="510"/>
      <c r="BU1" s="511"/>
      <c r="BV1" s="510"/>
      <c r="BW1" s="1064" t="s">
        <v>266</v>
      </c>
      <c r="BX1" s="1064"/>
      <c r="BY1" s="1064"/>
      <c r="BZ1" s="1064"/>
      <c r="CA1" s="1064"/>
      <c r="CB1" s="1064"/>
      <c r="CC1" s="1064"/>
      <c r="CD1" s="1064"/>
      <c r="CE1" s="510"/>
      <c r="CF1" s="511"/>
      <c r="CG1" s="510"/>
      <c r="CH1" s="1064" t="s">
        <v>267</v>
      </c>
      <c r="CI1" s="1064"/>
      <c r="CJ1" s="1064"/>
      <c r="CK1" s="1064"/>
      <c r="CL1" s="1064"/>
      <c r="CM1" s="1064"/>
      <c r="CN1" s="1064"/>
      <c r="CO1" s="1064"/>
      <c r="CP1" s="1064"/>
      <c r="CQ1" s="1064"/>
      <c r="CR1" s="510"/>
      <c r="CS1" s="511"/>
      <c r="CT1" s="510"/>
      <c r="CU1" s="1064" t="s">
        <v>268</v>
      </c>
      <c r="CV1" s="1064"/>
      <c r="CW1" s="1064"/>
      <c r="CX1" s="1064"/>
      <c r="CY1" s="1064"/>
      <c r="CZ1" s="1064"/>
      <c r="DA1" s="1064"/>
      <c r="DB1" s="1064"/>
      <c r="DC1" s="1064"/>
      <c r="DD1" s="510"/>
      <c r="DE1" s="511"/>
      <c r="DF1" s="510"/>
      <c r="DG1" s="1062" t="s">
        <v>269</v>
      </c>
      <c r="DH1" s="1062"/>
      <c r="DI1" s="1062"/>
      <c r="DJ1" s="1062"/>
      <c r="DK1" s="1062"/>
      <c r="DL1" s="1062"/>
      <c r="DM1" s="1062"/>
      <c r="DN1" s="1062"/>
      <c r="DO1" s="1062"/>
      <c r="DP1" s="1062"/>
      <c r="DQ1" s="1062"/>
      <c r="DR1" s="1062"/>
      <c r="DS1" s="510"/>
      <c r="DT1" s="511"/>
      <c r="DU1" s="510"/>
      <c r="DV1" s="1062" t="s">
        <v>270</v>
      </c>
      <c r="DW1" s="1062"/>
      <c r="DX1" s="1062"/>
      <c r="DY1" s="1062"/>
      <c r="DZ1" s="1062"/>
      <c r="EA1" s="1062"/>
      <c r="EB1" s="510"/>
      <c r="EC1" s="511"/>
      <c r="ED1" s="510"/>
      <c r="EE1" s="1063" t="s">
        <v>271</v>
      </c>
      <c r="EF1" s="1063"/>
      <c r="EG1" s="1063"/>
      <c r="EH1" s="1063"/>
      <c r="EI1" s="1063"/>
      <c r="EJ1" s="510"/>
      <c r="EK1" s="511"/>
      <c r="EL1" s="510"/>
      <c r="EM1" s="1062" t="s">
        <v>272</v>
      </c>
      <c r="EN1" s="1062"/>
      <c r="EO1" s="1062"/>
      <c r="EP1" s="1062"/>
      <c r="EQ1" s="1062"/>
      <c r="ER1" s="1062"/>
      <c r="ES1" s="1062"/>
      <c r="ET1" s="1062"/>
      <c r="EU1" s="1062"/>
      <c r="EV1" s="1062"/>
      <c r="EW1" s="1062"/>
      <c r="EX1" s="1062"/>
      <c r="EY1" s="510"/>
      <c r="EZ1" s="511"/>
      <c r="FA1" s="510"/>
      <c r="FB1" s="1063" t="s">
        <v>273</v>
      </c>
      <c r="FC1" s="1063"/>
      <c r="FD1" s="1063"/>
      <c r="FE1" s="510"/>
      <c r="FF1" s="511"/>
      <c r="FG1" s="510"/>
      <c r="FH1" s="1062" t="s">
        <v>274</v>
      </c>
      <c r="FI1" s="1062"/>
      <c r="FJ1" s="1062"/>
      <c r="FK1" s="1062"/>
      <c r="FL1" s="1062"/>
      <c r="FM1" s="1062"/>
      <c r="FN1" s="510"/>
      <c r="FO1" s="513"/>
      <c r="FP1" s="5"/>
      <c r="FQ1" s="1064" t="s">
        <v>275</v>
      </c>
      <c r="FR1" s="1064"/>
      <c r="FS1" s="1064"/>
      <c r="FT1" s="1064"/>
      <c r="FU1" s="1064"/>
      <c r="FV1" s="1064"/>
      <c r="FW1" s="1064"/>
      <c r="FX1" s="1064"/>
      <c r="FY1" s="1064"/>
      <c r="FZ1" s="1064"/>
      <c r="GA1" s="1064"/>
      <c r="GB1" s="1064"/>
      <c r="GC1" s="509"/>
      <c r="GD1" s="513"/>
      <c r="GE1" s="5"/>
      <c r="GF1" s="1066" t="s">
        <v>276</v>
      </c>
      <c r="GG1" s="1066"/>
      <c r="GH1" s="1066"/>
      <c r="GI1" s="1066"/>
      <c r="GJ1" s="1066"/>
      <c r="GK1" s="1066"/>
      <c r="GL1" s="1066"/>
      <c r="GM1" s="1066"/>
      <c r="GN1" s="1066"/>
      <c r="GO1" s="1066"/>
      <c r="GP1" s="1066"/>
      <c r="GQ1" s="1066"/>
      <c r="GR1" s="514"/>
      <c r="GS1" s="513"/>
      <c r="GT1" s="5"/>
      <c r="GU1" s="1063" t="s">
        <v>277</v>
      </c>
      <c r="GV1" s="1063"/>
      <c r="GW1" s="1063"/>
      <c r="GX1" s="1063"/>
      <c r="GY1" s="1063"/>
      <c r="GZ1" s="1063"/>
      <c r="HA1" s="1063"/>
      <c r="HB1" s="1063"/>
      <c r="HC1" s="1063"/>
      <c r="HD1" s="515"/>
      <c r="HE1" s="513"/>
      <c r="HF1" s="5"/>
      <c r="HG1" s="1063" t="s">
        <v>278</v>
      </c>
      <c r="HH1" s="1063"/>
      <c r="HI1" s="1063"/>
      <c r="HJ1" s="1063"/>
      <c r="HK1" s="1063"/>
      <c r="HL1" s="1063"/>
      <c r="HM1" s="515"/>
      <c r="HN1" s="513"/>
      <c r="HO1" s="5"/>
      <c r="HP1" s="1064" t="s">
        <v>279</v>
      </c>
      <c r="HQ1" s="1064"/>
      <c r="HR1" s="1064"/>
      <c r="HS1" s="1064"/>
      <c r="HT1" s="1064"/>
      <c r="HU1" s="1064"/>
      <c r="HV1" s="1064"/>
      <c r="HW1" s="1064"/>
      <c r="HX1" s="1064"/>
      <c r="HY1" s="510"/>
      <c r="HZ1" s="511"/>
      <c r="IA1" s="510"/>
      <c r="IB1" s="1065" t="s">
        <v>280</v>
      </c>
      <c r="IC1" s="1065"/>
      <c r="ID1" s="1065"/>
      <c r="IE1" s="1065"/>
      <c r="IF1" s="1065"/>
      <c r="IG1" s="1065"/>
      <c r="IH1" s="1065"/>
      <c r="II1" s="1065"/>
      <c r="IJ1" s="1065"/>
      <c r="IK1" s="1065"/>
      <c r="IL1" s="510"/>
      <c r="IM1" s="511"/>
      <c r="IN1" s="510"/>
      <c r="IO1" s="1065" t="s">
        <v>281</v>
      </c>
      <c r="IP1" s="1065"/>
      <c r="IQ1" s="1065"/>
      <c r="IR1" s="1065"/>
      <c r="IS1" s="1065"/>
      <c r="IT1" s="1065"/>
      <c r="IU1" s="1065"/>
      <c r="IV1" s="1065"/>
      <c r="IW1" s="1065"/>
      <c r="IX1" s="1065"/>
      <c r="IY1" s="1065"/>
      <c r="IZ1" s="1065"/>
      <c r="JA1" s="1065"/>
      <c r="JB1" s="1065"/>
      <c r="JC1" s="5"/>
      <c r="JD1" s="513"/>
      <c r="JE1" s="5"/>
      <c r="JF1" s="1064" t="s">
        <v>282</v>
      </c>
      <c r="JG1" s="1064"/>
      <c r="JH1" s="1064"/>
      <c r="JI1" s="1064"/>
      <c r="JJ1" s="1064"/>
      <c r="JK1" s="1064"/>
      <c r="JL1" s="1064"/>
      <c r="JM1" s="1064"/>
      <c r="JN1" s="1064"/>
      <c r="JO1" s="5"/>
      <c r="JP1" s="5"/>
      <c r="JQ1" s="513"/>
      <c r="JS1" s="516" t="s">
        <v>438</v>
      </c>
      <c r="JX1" s="516" t="s">
        <v>436</v>
      </c>
      <c r="JY1" s="516" t="s">
        <v>437</v>
      </c>
    </row>
    <row r="2" spans="1:292" ht="77.25" customHeight="1" x14ac:dyDescent="0.3">
      <c r="A2" s="517"/>
      <c r="B2" s="518"/>
      <c r="C2" s="75" t="s">
        <v>283</v>
      </c>
      <c r="D2" s="75" t="s">
        <v>284</v>
      </c>
      <c r="E2" s="75" t="s">
        <v>285</v>
      </c>
      <c r="F2" s="46"/>
      <c r="G2" s="519"/>
      <c r="H2" s="46"/>
      <c r="I2" s="517"/>
      <c r="J2" s="75" t="s">
        <v>286</v>
      </c>
      <c r="K2" s="75" t="s">
        <v>287</v>
      </c>
      <c r="L2" s="987" t="s">
        <v>288</v>
      </c>
      <c r="M2" s="75" t="s">
        <v>289</v>
      </c>
      <c r="N2" s="987" t="s">
        <v>290</v>
      </c>
      <c r="O2" s="75" t="s">
        <v>291</v>
      </c>
      <c r="P2" s="75" t="s">
        <v>292</v>
      </c>
      <c r="Q2" s="75" t="s">
        <v>293</v>
      </c>
      <c r="R2" s="46"/>
      <c r="S2" s="519"/>
      <c r="T2" s="46"/>
      <c r="U2" s="517"/>
      <c r="V2" s="75" t="s">
        <v>286</v>
      </c>
      <c r="W2" s="75" t="s">
        <v>287</v>
      </c>
      <c r="X2" s="75" t="s">
        <v>294</v>
      </c>
      <c r="Y2" s="75" t="s">
        <v>295</v>
      </c>
      <c r="Z2" s="46"/>
      <c r="AA2" s="519"/>
      <c r="AB2" s="46"/>
      <c r="AC2" s="520"/>
      <c r="AD2" s="521" t="s">
        <v>286</v>
      </c>
      <c r="AE2" s="75" t="s">
        <v>287</v>
      </c>
      <c r="AF2" s="988" t="s">
        <v>296</v>
      </c>
      <c r="AG2" s="46"/>
      <c r="AH2" s="519"/>
      <c r="AI2" s="46"/>
      <c r="AJ2" s="517"/>
      <c r="AK2" s="75"/>
      <c r="AL2" s="75" t="s">
        <v>127</v>
      </c>
      <c r="AM2" s="522"/>
      <c r="AN2" s="523"/>
      <c r="AO2" s="522"/>
      <c r="AP2" s="517"/>
      <c r="AQ2" s="75" t="s">
        <v>286</v>
      </c>
      <c r="AR2" s="75" t="s">
        <v>287</v>
      </c>
      <c r="AS2" s="75" t="s">
        <v>297</v>
      </c>
      <c r="AT2" s="1002" t="s">
        <v>298</v>
      </c>
      <c r="AU2" s="75" t="s">
        <v>299</v>
      </c>
      <c r="AV2" s="75" t="s">
        <v>300</v>
      </c>
      <c r="AW2" s="75" t="s">
        <v>301</v>
      </c>
      <c r="AX2" s="75" t="s">
        <v>302</v>
      </c>
      <c r="AY2" s="524" t="s">
        <v>303</v>
      </c>
      <c r="AZ2" s="524" t="s">
        <v>304</v>
      </c>
      <c r="BA2" s="46"/>
      <c r="BB2" s="519"/>
      <c r="BC2" s="177"/>
      <c r="BD2" s="517"/>
      <c r="BE2" s="75" t="s">
        <v>305</v>
      </c>
      <c r="BF2" s="75" t="s">
        <v>306</v>
      </c>
      <c r="BG2" s="75" t="s">
        <v>307</v>
      </c>
      <c r="BH2" s="46"/>
      <c r="BI2" s="519"/>
      <c r="BJ2" s="46"/>
      <c r="BK2" s="517"/>
      <c r="BL2" s="75" t="s">
        <v>286</v>
      </c>
      <c r="BM2" s="75" t="s">
        <v>287</v>
      </c>
      <c r="BN2" s="75" t="str">
        <f>BE4</f>
        <v>Direct and Collector Labour Allocator</v>
      </c>
      <c r="BO2" s="75" t="s">
        <v>308</v>
      </c>
      <c r="BP2" s="75" t="str">
        <f>BE5</f>
        <v>Volume Allocator</v>
      </c>
      <c r="BQ2" s="75" t="s">
        <v>309</v>
      </c>
      <c r="BR2" s="75" t="s">
        <v>310</v>
      </c>
      <c r="BS2" s="75" t="s">
        <v>285</v>
      </c>
      <c r="BT2" s="46"/>
      <c r="BU2" s="519"/>
      <c r="BV2" s="46"/>
      <c r="BW2" s="517"/>
      <c r="BX2" s="106"/>
      <c r="BY2" s="987" t="s">
        <v>311</v>
      </c>
      <c r="BZ2" s="75" t="s">
        <v>312</v>
      </c>
      <c r="CA2" s="75" t="s">
        <v>313</v>
      </c>
      <c r="CB2" s="75" t="s">
        <v>314</v>
      </c>
      <c r="CC2" s="75" t="s">
        <v>315</v>
      </c>
      <c r="CD2" s="75" t="s">
        <v>316</v>
      </c>
      <c r="CE2" s="46"/>
      <c r="CF2" s="519"/>
      <c r="CG2" s="46"/>
      <c r="CH2" s="517"/>
      <c r="CI2" s="75" t="s">
        <v>286</v>
      </c>
      <c r="CJ2" s="75" t="s">
        <v>287</v>
      </c>
      <c r="CK2" s="75" t="s">
        <v>317</v>
      </c>
      <c r="CL2" s="75" t="s">
        <v>318</v>
      </c>
      <c r="CM2" s="75" t="s">
        <v>319</v>
      </c>
      <c r="CN2" s="75" t="s">
        <v>320</v>
      </c>
      <c r="CO2" s="75" t="s">
        <v>321</v>
      </c>
      <c r="CP2" s="75" t="s">
        <v>322</v>
      </c>
      <c r="CQ2" s="75" t="s">
        <v>285</v>
      </c>
      <c r="CR2" s="46"/>
      <c r="CS2" s="519"/>
      <c r="CT2" s="46"/>
      <c r="CU2" s="517"/>
      <c r="CV2" s="75" t="s">
        <v>323</v>
      </c>
      <c r="CW2" s="75" t="s">
        <v>322</v>
      </c>
      <c r="CX2" s="75" t="s">
        <v>292</v>
      </c>
      <c r="CY2" s="525" t="s">
        <v>317</v>
      </c>
      <c r="CZ2" s="75" t="str">
        <f>CW2</f>
        <v>Building Allocator</v>
      </c>
      <c r="DA2" s="75" t="str">
        <f>CX2</f>
        <v>Pallet Allocator</v>
      </c>
      <c r="DB2" s="75" t="str">
        <f>CY2</f>
        <v>Volume Allocator</v>
      </c>
      <c r="DC2" s="987" t="s">
        <v>324</v>
      </c>
      <c r="DD2" s="46"/>
      <c r="DE2" s="519"/>
      <c r="DF2" s="46"/>
      <c r="DG2" s="517"/>
      <c r="DH2" s="75" t="s">
        <v>286</v>
      </c>
      <c r="DI2" s="75" t="s">
        <v>287</v>
      </c>
      <c r="DJ2" s="75" t="s">
        <v>322</v>
      </c>
      <c r="DK2" s="75" t="s">
        <v>325</v>
      </c>
      <c r="DL2" s="75" t="s">
        <v>292</v>
      </c>
      <c r="DM2" s="75" t="s">
        <v>326</v>
      </c>
      <c r="DN2" s="75" t="s">
        <v>317</v>
      </c>
      <c r="DO2" s="75" t="s">
        <v>327</v>
      </c>
      <c r="DP2" s="75" t="s">
        <v>328</v>
      </c>
      <c r="DQ2" s="75" t="s">
        <v>329</v>
      </c>
      <c r="DR2" s="75" t="s">
        <v>285</v>
      </c>
      <c r="DS2" s="46"/>
      <c r="DT2" s="519"/>
      <c r="DU2" s="46"/>
      <c r="DV2" s="517"/>
      <c r="DW2" s="75" t="s">
        <v>286</v>
      </c>
      <c r="DX2" s="75" t="s">
        <v>287</v>
      </c>
      <c r="DY2" s="75" t="s">
        <v>292</v>
      </c>
      <c r="DZ2" s="75" t="s">
        <v>330</v>
      </c>
      <c r="EA2" s="75" t="s">
        <v>285</v>
      </c>
      <c r="EB2" s="46"/>
      <c r="EC2" s="519"/>
      <c r="ED2" s="46"/>
      <c r="EE2" s="526"/>
      <c r="EF2" s="75" t="s">
        <v>305</v>
      </c>
      <c r="EG2" s="987" t="s">
        <v>331</v>
      </c>
      <c r="EH2" s="75" t="s">
        <v>306</v>
      </c>
      <c r="EI2" s="75" t="s">
        <v>307</v>
      </c>
      <c r="EJ2" s="46"/>
      <c r="EK2" s="519"/>
      <c r="EL2" s="46"/>
      <c r="EM2" s="517"/>
      <c r="EN2" s="75" t="s">
        <v>286</v>
      </c>
      <c r="EO2" s="75" t="s">
        <v>287</v>
      </c>
      <c r="EP2" s="75" t="s">
        <v>295</v>
      </c>
      <c r="EQ2" s="75" t="s">
        <v>332</v>
      </c>
      <c r="ER2" s="75" t="s">
        <v>322</v>
      </c>
      <c r="ES2" s="75" t="s">
        <v>333</v>
      </c>
      <c r="ET2" s="75" t="s">
        <v>317</v>
      </c>
      <c r="EU2" s="75" t="s">
        <v>334</v>
      </c>
      <c r="EV2" s="75" t="s">
        <v>335</v>
      </c>
      <c r="EW2" s="75" t="s">
        <v>329</v>
      </c>
      <c r="EX2" s="75" t="s">
        <v>285</v>
      </c>
      <c r="EY2" s="46"/>
      <c r="EZ2" s="519"/>
      <c r="FA2" s="46"/>
      <c r="FB2" s="527"/>
      <c r="FC2" s="64" t="s">
        <v>126</v>
      </c>
      <c r="FD2" s="64" t="s">
        <v>336</v>
      </c>
      <c r="FE2" s="46"/>
      <c r="FF2" s="519"/>
      <c r="FG2" s="46"/>
      <c r="FH2" s="517"/>
      <c r="FI2" s="75" t="s">
        <v>286</v>
      </c>
      <c r="FJ2" s="75" t="s">
        <v>287</v>
      </c>
      <c r="FK2" s="75" t="str">
        <f>Y2</f>
        <v>Business Cost Allocator</v>
      </c>
      <c r="FL2" s="75" t="s">
        <v>337</v>
      </c>
      <c r="FM2" s="75" t="s">
        <v>285</v>
      </c>
      <c r="FN2" s="46"/>
      <c r="FQ2" s="517"/>
      <c r="FR2" s="75" t="s">
        <v>286</v>
      </c>
      <c r="FS2" s="75" t="s">
        <v>287</v>
      </c>
      <c r="FT2" s="75" t="s">
        <v>338</v>
      </c>
      <c r="FU2" s="75" t="s">
        <v>48</v>
      </c>
      <c r="FV2" s="75" t="s">
        <v>339</v>
      </c>
      <c r="FW2" s="75" t="s">
        <v>52</v>
      </c>
      <c r="FX2" s="75" t="s">
        <v>50</v>
      </c>
      <c r="FY2" s="75" t="s">
        <v>53</v>
      </c>
      <c r="FZ2" s="75" t="s">
        <v>336</v>
      </c>
      <c r="GA2" s="75" t="s">
        <v>340</v>
      </c>
      <c r="GB2" s="75" t="s">
        <v>285</v>
      </c>
      <c r="GC2" s="46"/>
      <c r="GF2" s="517"/>
      <c r="GG2" s="75" t="s">
        <v>286</v>
      </c>
      <c r="GH2" s="75" t="s">
        <v>287</v>
      </c>
      <c r="GI2" s="75" t="s">
        <v>341</v>
      </c>
      <c r="GJ2" s="75" t="s">
        <v>342</v>
      </c>
      <c r="GK2" s="75" t="s">
        <v>343</v>
      </c>
      <c r="GL2" s="75" t="s">
        <v>344</v>
      </c>
      <c r="GM2" s="75" t="s">
        <v>345</v>
      </c>
      <c r="GN2" s="75" t="s">
        <v>346</v>
      </c>
      <c r="GO2" s="75" t="s">
        <v>347</v>
      </c>
      <c r="GP2" s="75" t="s">
        <v>285</v>
      </c>
      <c r="GQ2" s="1002" t="s">
        <v>118</v>
      </c>
      <c r="GR2" s="529"/>
      <c r="GU2" s="517"/>
      <c r="GV2" s="75" t="s">
        <v>286</v>
      </c>
      <c r="GW2" s="75" t="s">
        <v>287</v>
      </c>
      <c r="GX2" s="75" t="s">
        <v>293</v>
      </c>
      <c r="GY2" s="75" t="s">
        <v>340</v>
      </c>
      <c r="GZ2" s="75" t="s">
        <v>118</v>
      </c>
      <c r="HA2" s="75" t="s">
        <v>348</v>
      </c>
      <c r="HB2" s="75" t="s">
        <v>349</v>
      </c>
      <c r="HC2" s="75" t="s">
        <v>350</v>
      </c>
      <c r="HD2" s="46"/>
      <c r="HG2" s="517"/>
      <c r="HH2" s="75" t="s">
        <v>293</v>
      </c>
      <c r="HI2" s="75" t="s">
        <v>340</v>
      </c>
      <c r="HJ2" s="75" t="s">
        <v>118</v>
      </c>
      <c r="HK2" s="75" t="s">
        <v>349</v>
      </c>
      <c r="HL2" s="75" t="s">
        <v>350</v>
      </c>
      <c r="HM2" s="46"/>
      <c r="HP2" s="517"/>
      <c r="HQ2" s="531" t="s">
        <v>286</v>
      </c>
      <c r="HR2" s="531" t="str">
        <f>FS2</f>
        <v>Container Stream</v>
      </c>
      <c r="HS2" s="989" t="s">
        <v>118</v>
      </c>
      <c r="HT2" s="531" t="s">
        <v>351</v>
      </c>
      <c r="HU2" s="989" t="s">
        <v>428</v>
      </c>
      <c r="HV2" s="531" t="s">
        <v>73</v>
      </c>
      <c r="HW2" s="531" t="s">
        <v>352</v>
      </c>
      <c r="HX2" s="531" t="s">
        <v>353</v>
      </c>
      <c r="HY2" s="46"/>
      <c r="HZ2" s="519"/>
      <c r="IB2" s="532" t="s">
        <v>354</v>
      </c>
      <c r="IC2" s="532" t="s">
        <v>355</v>
      </c>
      <c r="ID2" s="532" t="s">
        <v>356</v>
      </c>
      <c r="IE2" s="532" t="s">
        <v>357</v>
      </c>
      <c r="IF2" s="532" t="s">
        <v>358</v>
      </c>
      <c r="IG2" s="532" t="s">
        <v>283</v>
      </c>
      <c r="IH2" s="532" t="s">
        <v>359</v>
      </c>
      <c r="II2" s="989" t="s">
        <v>360</v>
      </c>
      <c r="IJ2" s="532" t="s">
        <v>361</v>
      </c>
      <c r="IK2" s="532" t="s">
        <v>362</v>
      </c>
      <c r="IL2" s="46"/>
      <c r="IM2" s="519"/>
      <c r="IN2" s="46"/>
      <c r="IO2" s="533"/>
      <c r="IP2" s="532" t="s">
        <v>286</v>
      </c>
      <c r="IQ2" s="532" t="s">
        <v>287</v>
      </c>
      <c r="IR2" s="532" t="s">
        <v>340</v>
      </c>
      <c r="IS2" s="532" t="s">
        <v>118</v>
      </c>
      <c r="IT2" s="532" t="s">
        <v>363</v>
      </c>
      <c r="IU2" s="532" t="s">
        <v>364</v>
      </c>
      <c r="IV2" s="532" t="s">
        <v>365</v>
      </c>
      <c r="IW2" s="532" t="s">
        <v>366</v>
      </c>
      <c r="IX2" s="534" t="s">
        <v>367</v>
      </c>
      <c r="IY2" s="534" t="s">
        <v>368</v>
      </c>
      <c r="IZ2" s="534" t="s">
        <v>369</v>
      </c>
      <c r="JA2" s="534" t="s">
        <v>370</v>
      </c>
      <c r="JB2" s="534" t="s">
        <v>371</v>
      </c>
      <c r="JF2" s="517"/>
      <c r="JG2" s="531" t="s">
        <v>286</v>
      </c>
      <c r="JH2" s="531" t="str">
        <f>FS2</f>
        <v>Container Stream</v>
      </c>
      <c r="JI2" s="989" t="s">
        <v>118</v>
      </c>
      <c r="JJ2" s="531" t="s">
        <v>372</v>
      </c>
      <c r="JK2" s="989" t="s">
        <v>429</v>
      </c>
      <c r="JL2" s="531" t="s">
        <v>73</v>
      </c>
      <c r="JM2" s="531" t="s">
        <v>352</v>
      </c>
      <c r="JN2" s="531" t="s">
        <v>353</v>
      </c>
      <c r="JS2" s="531" t="s">
        <v>434</v>
      </c>
      <c r="JT2" s="531" t="s">
        <v>132</v>
      </c>
      <c r="JU2" s="989" t="s">
        <v>118</v>
      </c>
      <c r="JV2" s="1008" t="s">
        <v>441</v>
      </c>
      <c r="JX2" s="1008" t="s">
        <v>440</v>
      </c>
      <c r="JY2" s="1008" t="s">
        <v>439</v>
      </c>
      <c r="JZ2" s="516"/>
      <c r="KA2" s="516"/>
      <c r="KB2" s="516"/>
      <c r="KC2" s="516"/>
      <c r="KE2" s="516"/>
      <c r="KF2" s="516"/>
    </row>
    <row r="3" spans="1:292" ht="16.5" customHeight="1" x14ac:dyDescent="0.3">
      <c r="A3" s="535" t="s">
        <v>133</v>
      </c>
      <c r="B3" s="145" t="s">
        <v>134</v>
      </c>
      <c r="C3" s="145" t="s">
        <v>135</v>
      </c>
      <c r="D3" s="145" t="s">
        <v>159</v>
      </c>
      <c r="E3" s="145" t="s">
        <v>137</v>
      </c>
      <c r="F3" s="123"/>
      <c r="G3" s="536"/>
      <c r="H3" s="123"/>
      <c r="I3" s="535" t="s">
        <v>133</v>
      </c>
      <c r="J3" s="145" t="s">
        <v>134</v>
      </c>
      <c r="K3" s="145" t="s">
        <v>135</v>
      </c>
      <c r="L3" s="145" t="s">
        <v>147</v>
      </c>
      <c r="M3" s="145" t="s">
        <v>137</v>
      </c>
      <c r="N3" s="145" t="s">
        <v>138</v>
      </c>
      <c r="O3" s="145" t="s">
        <v>139</v>
      </c>
      <c r="P3" s="145" t="s">
        <v>140</v>
      </c>
      <c r="Q3" s="143" t="s">
        <v>141</v>
      </c>
      <c r="R3" s="123"/>
      <c r="S3" s="536"/>
      <c r="T3" s="123"/>
      <c r="U3" s="535" t="s">
        <v>133</v>
      </c>
      <c r="V3" s="145" t="s">
        <v>134</v>
      </c>
      <c r="W3" s="145" t="s">
        <v>135</v>
      </c>
      <c r="X3" s="145" t="s">
        <v>147</v>
      </c>
      <c r="Y3" s="145" t="s">
        <v>137</v>
      </c>
      <c r="Z3" s="123"/>
      <c r="AA3" s="536"/>
      <c r="AB3" s="123"/>
      <c r="AC3" s="535" t="s">
        <v>133</v>
      </c>
      <c r="AD3" s="145" t="s">
        <v>134</v>
      </c>
      <c r="AE3" s="145" t="s">
        <v>135</v>
      </c>
      <c r="AF3" s="145" t="s">
        <v>147</v>
      </c>
      <c r="AG3" s="123"/>
      <c r="AH3" s="536"/>
      <c r="AI3" s="123"/>
      <c r="AJ3" s="537" t="s">
        <v>133</v>
      </c>
      <c r="AK3" s="145" t="s">
        <v>134</v>
      </c>
      <c r="AL3" s="145" t="s">
        <v>135</v>
      </c>
      <c r="AM3" s="538"/>
      <c r="AN3" s="539"/>
      <c r="AO3" s="538"/>
      <c r="AP3" s="537" t="s">
        <v>133</v>
      </c>
      <c r="AQ3" s="145" t="s">
        <v>134</v>
      </c>
      <c r="AR3" s="145" t="s">
        <v>135</v>
      </c>
      <c r="AS3" s="145" t="s">
        <v>147</v>
      </c>
      <c r="AT3" s="540" t="s">
        <v>137</v>
      </c>
      <c r="AU3" s="145" t="s">
        <v>138</v>
      </c>
      <c r="AV3" s="145" t="s">
        <v>139</v>
      </c>
      <c r="AW3" s="145" t="s">
        <v>140</v>
      </c>
      <c r="AX3" s="145" t="s">
        <v>141</v>
      </c>
      <c r="AY3" s="123" t="s">
        <v>143</v>
      </c>
      <c r="AZ3" s="123" t="s">
        <v>142</v>
      </c>
      <c r="BA3" s="123"/>
      <c r="BB3" s="536"/>
      <c r="BC3" s="143"/>
      <c r="BD3" s="535" t="s">
        <v>133</v>
      </c>
      <c r="BE3" s="145" t="s">
        <v>134</v>
      </c>
      <c r="BF3" s="145" t="s">
        <v>147</v>
      </c>
      <c r="BG3" s="145" t="s">
        <v>137</v>
      </c>
      <c r="BH3" s="123"/>
      <c r="BI3" s="536"/>
      <c r="BJ3" s="123"/>
      <c r="BK3" s="535" t="s">
        <v>133</v>
      </c>
      <c r="BL3" s="145" t="s">
        <v>134</v>
      </c>
      <c r="BM3" s="145" t="s">
        <v>135</v>
      </c>
      <c r="BN3" s="145" t="s">
        <v>159</v>
      </c>
      <c r="BO3" s="145" t="s">
        <v>137</v>
      </c>
      <c r="BP3" s="145" t="s">
        <v>138</v>
      </c>
      <c r="BQ3" s="145" t="s">
        <v>139</v>
      </c>
      <c r="BR3" s="143" t="s">
        <v>140</v>
      </c>
      <c r="BS3" s="143" t="s">
        <v>141</v>
      </c>
      <c r="BT3" s="123"/>
      <c r="BU3" s="536"/>
      <c r="BV3" s="123"/>
      <c r="BW3" s="537" t="s">
        <v>133</v>
      </c>
      <c r="BX3" s="145" t="s">
        <v>134</v>
      </c>
      <c r="BY3" s="145" t="s">
        <v>135</v>
      </c>
      <c r="BZ3" s="145" t="s">
        <v>147</v>
      </c>
      <c r="CA3" s="145" t="s">
        <v>137</v>
      </c>
      <c r="CB3" s="145" t="s">
        <v>138</v>
      </c>
      <c r="CC3" s="145" t="s">
        <v>139</v>
      </c>
      <c r="CD3" s="145" t="s">
        <v>140</v>
      </c>
      <c r="CE3" s="123"/>
      <c r="CF3" s="536"/>
      <c r="CG3" s="123"/>
      <c r="CH3" s="535" t="s">
        <v>133</v>
      </c>
      <c r="CI3" s="145" t="s">
        <v>134</v>
      </c>
      <c r="CJ3" s="145" t="s">
        <v>135</v>
      </c>
      <c r="CK3" s="145" t="s">
        <v>147</v>
      </c>
      <c r="CL3" s="145" t="s">
        <v>137</v>
      </c>
      <c r="CM3" s="145" t="s">
        <v>138</v>
      </c>
      <c r="CN3" s="145" t="s">
        <v>139</v>
      </c>
      <c r="CO3" s="145" t="s">
        <v>140</v>
      </c>
      <c r="CP3" s="145" t="s">
        <v>141</v>
      </c>
      <c r="CQ3" s="145" t="s">
        <v>142</v>
      </c>
      <c r="CR3" s="123"/>
      <c r="CS3" s="536"/>
      <c r="CT3" s="123"/>
      <c r="CU3" s="535" t="s">
        <v>133</v>
      </c>
      <c r="CV3" s="145" t="s">
        <v>134</v>
      </c>
      <c r="CW3" s="145" t="s">
        <v>135</v>
      </c>
      <c r="CX3" s="145" t="s">
        <v>159</v>
      </c>
      <c r="CY3" s="145" t="s">
        <v>137</v>
      </c>
      <c r="CZ3" s="145" t="s">
        <v>160</v>
      </c>
      <c r="DA3" s="145" t="s">
        <v>373</v>
      </c>
      <c r="DB3" s="145" t="s">
        <v>140</v>
      </c>
      <c r="DC3" s="145" t="s">
        <v>374</v>
      </c>
      <c r="DD3" s="123"/>
      <c r="DE3" s="536"/>
      <c r="DF3" s="123"/>
      <c r="DG3" s="535" t="s">
        <v>133</v>
      </c>
      <c r="DH3" s="145" t="s">
        <v>134</v>
      </c>
      <c r="DI3" s="145" t="s">
        <v>135</v>
      </c>
      <c r="DJ3" s="145" t="s">
        <v>147</v>
      </c>
      <c r="DK3" s="145" t="s">
        <v>137</v>
      </c>
      <c r="DL3" s="145" t="s">
        <v>138</v>
      </c>
      <c r="DM3" s="145" t="s">
        <v>139</v>
      </c>
      <c r="DN3" s="145" t="s">
        <v>140</v>
      </c>
      <c r="DO3" s="145" t="s">
        <v>141</v>
      </c>
      <c r="DP3" s="145" t="s">
        <v>142</v>
      </c>
      <c r="DQ3" s="145" t="s">
        <v>143</v>
      </c>
      <c r="DR3" s="145" t="s">
        <v>144</v>
      </c>
      <c r="DS3" s="123"/>
      <c r="DT3" s="536"/>
      <c r="DU3" s="123"/>
      <c r="DV3" s="535" t="s">
        <v>133</v>
      </c>
      <c r="DW3" s="145" t="s">
        <v>134</v>
      </c>
      <c r="DX3" s="145" t="s">
        <v>135</v>
      </c>
      <c r="DY3" s="145" t="s">
        <v>147</v>
      </c>
      <c r="DZ3" s="145" t="s">
        <v>137</v>
      </c>
      <c r="EA3" s="145" t="s">
        <v>160</v>
      </c>
      <c r="EB3" s="123"/>
      <c r="EC3" s="536"/>
      <c r="ED3" s="123"/>
      <c r="EE3" s="535" t="s">
        <v>133</v>
      </c>
      <c r="EF3" s="145" t="s">
        <v>134</v>
      </c>
      <c r="EG3" s="145" t="s">
        <v>135</v>
      </c>
      <c r="EH3" s="145" t="s">
        <v>147</v>
      </c>
      <c r="EI3" s="145" t="s">
        <v>137</v>
      </c>
      <c r="EJ3" s="123"/>
      <c r="EK3" s="536"/>
      <c r="EL3" s="123"/>
      <c r="EM3" s="537" t="s">
        <v>133</v>
      </c>
      <c r="EN3" s="145" t="s">
        <v>134</v>
      </c>
      <c r="EO3" s="145" t="s">
        <v>135</v>
      </c>
      <c r="EP3" s="145" t="s">
        <v>147</v>
      </c>
      <c r="EQ3" s="145" t="s">
        <v>137</v>
      </c>
      <c r="ER3" s="145" t="s">
        <v>138</v>
      </c>
      <c r="ES3" s="145" t="s">
        <v>139</v>
      </c>
      <c r="ET3" s="145" t="s">
        <v>140</v>
      </c>
      <c r="EU3" s="145" t="s">
        <v>141</v>
      </c>
      <c r="EV3" s="145" t="s">
        <v>142</v>
      </c>
      <c r="EW3" s="145" t="s">
        <v>143</v>
      </c>
      <c r="EX3" s="145" t="s">
        <v>144</v>
      </c>
      <c r="EY3" s="123"/>
      <c r="EZ3" s="536"/>
      <c r="FA3" s="123"/>
      <c r="FB3" s="535" t="s">
        <v>133</v>
      </c>
      <c r="FC3" s="145" t="s">
        <v>134</v>
      </c>
      <c r="FD3" s="145" t="s">
        <v>135</v>
      </c>
      <c r="FE3" s="123"/>
      <c r="FF3" s="536"/>
      <c r="FG3" s="123"/>
      <c r="FH3" s="535" t="s">
        <v>133</v>
      </c>
      <c r="FI3" s="145" t="s">
        <v>134</v>
      </c>
      <c r="FJ3" s="145" t="s">
        <v>135</v>
      </c>
      <c r="FK3" s="145" t="s">
        <v>147</v>
      </c>
      <c r="FL3" s="145" t="s">
        <v>137</v>
      </c>
      <c r="FM3" s="145" t="s">
        <v>160</v>
      </c>
      <c r="FN3" s="123"/>
      <c r="FO3" s="541"/>
      <c r="FP3" s="60"/>
      <c r="FQ3" s="535" t="s">
        <v>133</v>
      </c>
      <c r="FR3" s="145" t="s">
        <v>134</v>
      </c>
      <c r="FS3" s="145" t="s">
        <v>135</v>
      </c>
      <c r="FT3" s="145" t="s">
        <v>147</v>
      </c>
      <c r="FU3" s="540" t="s">
        <v>137</v>
      </c>
      <c r="FV3" s="145" t="s">
        <v>138</v>
      </c>
      <c r="FW3" s="145" t="s">
        <v>139</v>
      </c>
      <c r="FX3" s="143" t="s">
        <v>140</v>
      </c>
      <c r="FY3" s="143" t="s">
        <v>141</v>
      </c>
      <c r="FZ3" s="143" t="s">
        <v>142</v>
      </c>
      <c r="GA3" s="542" t="s">
        <v>143</v>
      </c>
      <c r="GB3" s="145" t="s">
        <v>144</v>
      </c>
      <c r="GC3" s="538"/>
      <c r="GD3" s="541"/>
      <c r="GE3" s="60"/>
      <c r="GF3" s="535" t="s">
        <v>133</v>
      </c>
      <c r="GG3" s="145" t="s">
        <v>134</v>
      </c>
      <c r="GH3" s="145" t="s">
        <v>135</v>
      </c>
      <c r="GI3" s="145" t="s">
        <v>147</v>
      </c>
      <c r="GJ3" s="145" t="s">
        <v>137</v>
      </c>
      <c r="GK3" s="540" t="s">
        <v>138</v>
      </c>
      <c r="GL3" s="145" t="s">
        <v>139</v>
      </c>
      <c r="GM3" s="145" t="s">
        <v>140</v>
      </c>
      <c r="GN3" s="143" t="s">
        <v>141</v>
      </c>
      <c r="GO3" s="143" t="s">
        <v>142</v>
      </c>
      <c r="GP3" s="143" t="s">
        <v>143</v>
      </c>
      <c r="GQ3" s="145" t="s">
        <v>144</v>
      </c>
      <c r="GU3" s="535" t="s">
        <v>133</v>
      </c>
      <c r="GV3" s="145" t="s">
        <v>134</v>
      </c>
      <c r="GW3" s="145" t="s">
        <v>135</v>
      </c>
      <c r="GX3" s="145" t="s">
        <v>147</v>
      </c>
      <c r="GY3" s="542" t="s">
        <v>137</v>
      </c>
      <c r="GZ3" s="145" t="s">
        <v>138</v>
      </c>
      <c r="HA3" s="145" t="s">
        <v>139</v>
      </c>
      <c r="HB3" s="145" t="s">
        <v>140</v>
      </c>
      <c r="HC3" s="145" t="s">
        <v>141</v>
      </c>
      <c r="HD3" s="538"/>
      <c r="HG3" s="535" t="s">
        <v>133</v>
      </c>
      <c r="HH3" s="145" t="s">
        <v>134</v>
      </c>
      <c r="HI3" s="145" t="s">
        <v>135</v>
      </c>
      <c r="HJ3" s="145" t="s">
        <v>147</v>
      </c>
      <c r="HK3" s="542" t="s">
        <v>137</v>
      </c>
      <c r="HL3" s="145" t="s">
        <v>138</v>
      </c>
      <c r="HM3" s="538"/>
      <c r="HP3" s="535" t="s">
        <v>133</v>
      </c>
      <c r="HQ3" s="145" t="s">
        <v>134</v>
      </c>
      <c r="HR3" s="145" t="s">
        <v>135</v>
      </c>
      <c r="HS3" s="145" t="s">
        <v>147</v>
      </c>
      <c r="HT3" s="145" t="s">
        <v>137</v>
      </c>
      <c r="HU3" s="145" t="s">
        <v>138</v>
      </c>
      <c r="HV3" s="540" t="s">
        <v>139</v>
      </c>
      <c r="HW3" s="540" t="s">
        <v>140</v>
      </c>
      <c r="HX3" s="540" t="s">
        <v>141</v>
      </c>
      <c r="HY3" s="123"/>
      <c r="HZ3" s="536"/>
      <c r="IB3" s="145" t="s">
        <v>134</v>
      </c>
      <c r="IC3" s="145" t="s">
        <v>135</v>
      </c>
      <c r="ID3" s="145" t="s">
        <v>147</v>
      </c>
      <c r="IE3" s="145" t="s">
        <v>137</v>
      </c>
      <c r="IF3" s="145" t="s">
        <v>138</v>
      </c>
      <c r="IG3" s="145" t="s">
        <v>139</v>
      </c>
      <c r="IH3" s="145" t="s">
        <v>140</v>
      </c>
      <c r="II3" s="145" t="s">
        <v>141</v>
      </c>
      <c r="IJ3" s="145" t="s">
        <v>142</v>
      </c>
      <c r="IK3" s="145" t="s">
        <v>143</v>
      </c>
      <c r="IL3" s="123"/>
      <c r="IM3" s="536"/>
      <c r="IN3" s="123"/>
      <c r="IO3" s="535" t="s">
        <v>133</v>
      </c>
      <c r="IP3" s="145" t="s">
        <v>134</v>
      </c>
      <c r="IQ3" s="145" t="s">
        <v>135</v>
      </c>
      <c r="IR3" s="145" t="s">
        <v>147</v>
      </c>
      <c r="IS3" s="145" t="s">
        <v>137</v>
      </c>
      <c r="IT3" s="145" t="s">
        <v>138</v>
      </c>
      <c r="IU3" s="145" t="s">
        <v>139</v>
      </c>
      <c r="IV3" s="143" t="s">
        <v>140</v>
      </c>
      <c r="IW3" s="143" t="s">
        <v>141</v>
      </c>
      <c r="IX3" s="143" t="s">
        <v>142</v>
      </c>
      <c r="IY3" s="143" t="s">
        <v>143</v>
      </c>
      <c r="IZ3" s="143" t="s">
        <v>144</v>
      </c>
      <c r="JA3" s="143" t="s">
        <v>145</v>
      </c>
      <c r="JB3" s="143" t="s">
        <v>146</v>
      </c>
      <c r="JF3" s="535" t="s">
        <v>133</v>
      </c>
      <c r="JG3" s="145" t="s">
        <v>134</v>
      </c>
      <c r="JH3" s="145" t="s">
        <v>135</v>
      </c>
      <c r="JI3" s="145" t="s">
        <v>147</v>
      </c>
      <c r="JJ3" s="145" t="s">
        <v>137</v>
      </c>
      <c r="JK3" s="145" t="s">
        <v>138</v>
      </c>
      <c r="JL3" s="540" t="s">
        <v>139</v>
      </c>
      <c r="JM3" s="540" t="s">
        <v>140</v>
      </c>
      <c r="JN3" s="540" t="s">
        <v>141</v>
      </c>
      <c r="JS3" s="145" t="s">
        <v>137</v>
      </c>
      <c r="JT3" s="145"/>
      <c r="JU3" s="145"/>
      <c r="JV3" s="145"/>
      <c r="JZ3" s="516"/>
      <c r="KA3" s="1013" t="s">
        <v>448</v>
      </c>
      <c r="KB3" s="516"/>
      <c r="KC3" s="516"/>
      <c r="KE3" s="516"/>
      <c r="KF3" s="516"/>
    </row>
    <row r="4" spans="1:292" ht="17.25" thickBot="1" x14ac:dyDescent="0.35">
      <c r="A4" s="543">
        <v>1</v>
      </c>
      <c r="B4" s="645" t="s">
        <v>46</v>
      </c>
      <c r="C4" s="646">
        <f>'Actuals Phase I Schedules'!MC14</f>
        <v>39859467.818068884</v>
      </c>
      <c r="D4" s="647">
        <f t="shared" ref="D4:D12" si="0">C4/$C$13</f>
        <v>0.30859804609537889</v>
      </c>
      <c r="E4" s="986">
        <v>1.8263026622357388</v>
      </c>
      <c r="I4" s="543">
        <v>1</v>
      </c>
      <c r="J4" s="654">
        <f t="shared" ref="J4:J27" si="1">FR4</f>
        <v>1</v>
      </c>
      <c r="K4" s="655" t="s">
        <v>380</v>
      </c>
      <c r="L4" s="991">
        <v>1105379295</v>
      </c>
      <c r="M4" s="657">
        <f t="shared" ref="M4:M27" si="2">L4/$L$28</f>
        <v>0.50646866597742968</v>
      </c>
      <c r="N4" s="656">
        <v>2193</v>
      </c>
      <c r="O4" s="656">
        <f>IFERROR(L4/N4,0)</f>
        <v>504048.92612859095</v>
      </c>
      <c r="P4" s="657">
        <f t="shared" ref="P4:P27" si="3">O4/$O$28</f>
        <v>0.28451545298579356</v>
      </c>
      <c r="Q4" s="658" t="s">
        <v>379</v>
      </c>
      <c r="U4" s="545">
        <v>1</v>
      </c>
      <c r="V4" s="669">
        <f t="shared" ref="V4:V27" si="4">FR4</f>
        <v>1</v>
      </c>
      <c r="W4" s="655" t="s">
        <v>380</v>
      </c>
      <c r="X4" s="646">
        <f>SUM(FT4:FX4)</f>
        <v>33381143.473405767</v>
      </c>
      <c r="Y4" s="657">
        <f t="shared" ref="Y4:Y27" si="5">SUM(FT4:FX4)/SUM($FT$28:$FX$28)</f>
        <v>0.3460120978504172</v>
      </c>
      <c r="AC4" s="545">
        <v>1</v>
      </c>
      <c r="AD4" s="678">
        <v>1</v>
      </c>
      <c r="AE4" s="679" t="s">
        <v>380</v>
      </c>
      <c r="AF4" s="680">
        <v>1.94</v>
      </c>
      <c r="AJ4" s="545">
        <v>1</v>
      </c>
      <c r="AK4" s="687" t="s">
        <v>376</v>
      </c>
      <c r="AL4" s="689">
        <f>C4+C5</f>
        <v>41842875.195363708</v>
      </c>
      <c r="AM4" s="546"/>
      <c r="AN4" s="547"/>
      <c r="AO4" s="546"/>
      <c r="AP4" s="545">
        <v>1</v>
      </c>
      <c r="AQ4" s="693">
        <f t="shared" ref="AQ4:AQ27" si="6">FR4</f>
        <v>1</v>
      </c>
      <c r="AR4" s="655" t="s">
        <v>380</v>
      </c>
      <c r="AS4" s="655">
        <f t="shared" ref="AS4:AS27" si="7">VLOOKUP(AQ4,$AD$4:$AF$27,$AS$30,FALSE)</f>
        <v>1.94</v>
      </c>
      <c r="AT4" s="694">
        <f>L4</f>
        <v>1105379295</v>
      </c>
      <c r="AU4" s="694">
        <f>AT4*AS4/3600</f>
        <v>595676.62008333334</v>
      </c>
      <c r="AV4" s="695">
        <f t="shared" ref="AV4:AV27" si="8">AU4*$AL$5/$AU$28</f>
        <v>615279.19949455326</v>
      </c>
      <c r="AW4" s="696">
        <f t="shared" ref="AW4:AW27" si="9">$AL$6</f>
        <v>21.592508896755891</v>
      </c>
      <c r="AX4" s="646">
        <f>AV4*AW4</f>
        <v>13285421.589074984</v>
      </c>
      <c r="AY4" s="544">
        <f>AX4/$AX$28</f>
        <v>0.31750737794775252</v>
      </c>
      <c r="AZ4" s="548">
        <f t="shared" ref="AZ4:AZ27" si="10">IF($AT4=0,0,ROUND(IF(VLOOKUP(AQ4,$AQ$4:$AT$27,$AZ$30,FALSE)&lt;&gt;0,AX4/VLOOKUP(AQ4,$AQ$4:$AT$27,$AZ$30,FALSE)*100,""),6))</f>
        <v>1.2018880000000001</v>
      </c>
      <c r="BD4" s="543">
        <v>1</v>
      </c>
      <c r="BE4" s="655" t="str">
        <f>AY2</f>
        <v>Direct and Collector Labour Allocator</v>
      </c>
      <c r="BF4" s="657">
        <v>0.5</v>
      </c>
      <c r="BG4" s="646">
        <f>BF4*$BG$6</f>
        <v>9586712.8881295025</v>
      </c>
      <c r="BK4" s="543">
        <v>1</v>
      </c>
      <c r="BL4" s="658">
        <f t="shared" ref="BL4:BL27" si="11">FR4</f>
        <v>1</v>
      </c>
      <c r="BM4" s="655" t="s">
        <v>380</v>
      </c>
      <c r="BN4" s="657">
        <f>VLOOKUP(BL4,$AQ$4:$AY$28,$BN$33,FALSE)</f>
        <v>0.31750737794775252</v>
      </c>
      <c r="BO4" s="646">
        <f>BN4*$BO$28</f>
        <v>3043852.0722479243</v>
      </c>
      <c r="BP4" s="657">
        <f>VLOOKUP(BL4,$J$4:$M$27,$BP$33,FALSE)</f>
        <v>0.50646866597742968</v>
      </c>
      <c r="BQ4" s="646">
        <f>BP4*$BQ$28</f>
        <v>4855369.6875595814</v>
      </c>
      <c r="BR4" s="708">
        <f t="shared" ref="BR4:BR27" si="12">BQ4+BO4</f>
        <v>7899221.7598075056</v>
      </c>
      <c r="BS4" s="709">
        <f t="shared" ref="BS4:BS27" si="13">IF($AT4=0,0,ROUND(IF(VLOOKUP(BL4,$AQ$4:$AT$27,$AZ$30,FALSE)&lt;&gt;0,BR4/VLOOKUP(BL4,$AQ$4:$AT$27,$AZ$30,FALSE)*100,""),6))</f>
        <v>0.71461600000000003</v>
      </c>
      <c r="BW4" s="543">
        <v>1</v>
      </c>
      <c r="BX4" s="655" t="s">
        <v>377</v>
      </c>
      <c r="BY4" s="647">
        <v>7.564777291050645E-2</v>
      </c>
      <c r="BZ4" s="715">
        <f>BY4*$BZ$9</f>
        <v>1896770.8291299783</v>
      </c>
      <c r="CA4" s="648">
        <v>1</v>
      </c>
      <c r="CB4" s="648"/>
      <c r="CC4" s="715">
        <f t="shared" ref="CC4:CD8" si="14">CA4*$BZ4</f>
        <v>1896770.8291299783</v>
      </c>
      <c r="CD4" s="715">
        <f t="shared" si="14"/>
        <v>0</v>
      </c>
      <c r="CH4" s="543">
        <v>1</v>
      </c>
      <c r="CI4" s="678">
        <f t="shared" ref="CI4:CI27" si="15">FR4</f>
        <v>1</v>
      </c>
      <c r="CJ4" s="655" t="s">
        <v>380</v>
      </c>
      <c r="CK4" s="657">
        <f t="shared" ref="CK4:CK27" si="16">VLOOKUP(CI4,$J$4:$M$27,$CK$32,FALSE)</f>
        <v>0.50646866597742968</v>
      </c>
      <c r="CL4" s="646">
        <f t="shared" ref="CL4:CL27" si="17">CK4*$CL$28</f>
        <v>2968787.0186363556</v>
      </c>
      <c r="CM4" s="657">
        <f t="shared" ref="CM4:CM27" si="18">VLOOKUP(CI4,$J$4:$P$27,$CM$32,FALSE)</f>
        <v>0.28451545298579356</v>
      </c>
      <c r="CN4" s="646">
        <f t="shared" ref="CN4:CN27" si="19">CM4*$CN$28</f>
        <v>5466104.6097702459</v>
      </c>
      <c r="CO4" s="646">
        <f t="shared" ref="CO4:CO27" si="20">CN4+CL4</f>
        <v>8434891.628406601</v>
      </c>
      <c r="CP4" s="657">
        <f t="shared" ref="CP4:CP27" si="21">CO4/$CO$28</f>
        <v>0.3364037218576969</v>
      </c>
      <c r="CQ4" s="709">
        <f t="shared" ref="CQ4:CQ27" si="22">IF($AT4=0,0,ROUND(IF(VLOOKUP(CI4,$AQ$4:$AT$27,$AZ$30,FALSE)&lt;&gt;0,CO4/VLOOKUP(CI4,$AQ$4:$AT$27,$AZ$30,FALSE)*100,""),6))</f>
        <v>0.76307700000000001</v>
      </c>
      <c r="CU4" s="543">
        <v>1</v>
      </c>
      <c r="CV4" s="731" t="s">
        <v>375</v>
      </c>
      <c r="CW4" s="657">
        <v>0</v>
      </c>
      <c r="CX4" s="657">
        <v>0.5</v>
      </c>
      <c r="CY4" s="732">
        <v>0.5</v>
      </c>
      <c r="CZ4" s="646">
        <f>CW4*$DC4</f>
        <v>0</v>
      </c>
      <c r="DA4" s="646">
        <f>CX4*$DC4</f>
        <v>2448135.5093462113</v>
      </c>
      <c r="DB4" s="646">
        <f>CY4*$DC4</f>
        <v>2448135.5093462113</v>
      </c>
      <c r="DC4" s="955">
        <v>4896271.0186924227</v>
      </c>
      <c r="DG4" s="545">
        <v>1</v>
      </c>
      <c r="DH4" s="739">
        <f t="shared" ref="DH4:DH27" si="23">FR4</f>
        <v>1</v>
      </c>
      <c r="DI4" s="655" t="s">
        <v>380</v>
      </c>
      <c r="DJ4" s="657">
        <f t="shared" ref="DJ4:DJ27" si="24">VLOOKUP(DH4,$CI$4:$CP$27,$DJ$33,FALSE)</f>
        <v>0.3364037218576969</v>
      </c>
      <c r="DK4" s="646">
        <f>DJ4*$DK$28</f>
        <v>126721.51071573124</v>
      </c>
      <c r="DL4" s="657">
        <f t="shared" ref="DL4:DL27" si="25">VLOOKUP(DH4,$J$4:$Q$27,$DL$33,FALSE)</f>
        <v>0.28451545298579356</v>
      </c>
      <c r="DM4" s="646">
        <f t="shared" ref="DM4:DM27" si="26">DL4*$DM$28</f>
        <v>696532.3834122438</v>
      </c>
      <c r="DN4" s="657">
        <f t="shared" ref="DN4:DN27" si="27">VLOOKUP(DH4,$J$4:$Q$27,$DN$33,FALSE)</f>
        <v>0.50646866597742968</v>
      </c>
      <c r="DO4" s="646">
        <f>DN4*$DO$28</f>
        <v>1797388.4226845508</v>
      </c>
      <c r="DP4" s="646">
        <f>DK4+DM4+DO4</f>
        <v>2620642.3168125255</v>
      </c>
      <c r="DQ4" s="657">
        <f t="shared" ref="DQ4:DQ27" si="28">DP4/$DP$28</f>
        <v>0.41116536359344008</v>
      </c>
      <c r="DR4" s="709">
        <f t="shared" ref="DR4:DR27" si="29">IF($AT4=0,0,ROUND(IF(VLOOKUP(DH4,$AQ$4:$AT$27,$AZ$30,FALSE)&lt;&gt;0,DP4/VLOOKUP(DH4,$AQ$4:$AT$27,$AZ$30,FALSE)*100,""),6))</f>
        <v>0.23708099999999999</v>
      </c>
      <c r="DV4" s="545">
        <v>1</v>
      </c>
      <c r="DW4" s="739">
        <f t="shared" ref="DW4:DW27" si="30">GG4</f>
        <v>1</v>
      </c>
      <c r="DX4" s="655" t="s">
        <v>380</v>
      </c>
      <c r="DY4" s="657">
        <f t="shared" ref="DY4:DY27" si="31">VLOOKUP(DW4,$J$4:$Q$27,$DY$33,FALSE)</f>
        <v>0.28451545298579356</v>
      </c>
      <c r="DZ4" s="646">
        <f t="shared" ref="DZ4:DZ27" si="32">DY4*$DZ$28</f>
        <v>1140966.1793041537</v>
      </c>
      <c r="EA4" s="709">
        <f t="shared" ref="EA4:EA27" si="33">IF($AT4=0,0,ROUND(IF(VLOOKUP(DW4,$AQ$4:$AT$27,$AZ$30,FALSE)&lt;&gt;0,DZ4/VLOOKUP(DW4,$AQ$4:$AT$27,$AZ$30,FALSE)*100,""),6))</f>
        <v>0.10321900000000001</v>
      </c>
      <c r="EE4" s="543">
        <v>1</v>
      </c>
      <c r="EF4" s="655" t="s">
        <v>378</v>
      </c>
      <c r="EG4" s="646">
        <v>7182993.5611227266</v>
      </c>
      <c r="EH4" s="647">
        <f>EG4/$EG$7</f>
        <v>0.59682952418247304</v>
      </c>
      <c r="EI4" s="646">
        <f>EH4*$EI$7</f>
        <v>7818468.1274002688</v>
      </c>
      <c r="EM4" s="545">
        <v>1</v>
      </c>
      <c r="EN4" s="739">
        <f t="shared" ref="EN4:EN27" si="34">FR4</f>
        <v>1</v>
      </c>
      <c r="EO4" s="655" t="s">
        <v>380</v>
      </c>
      <c r="EP4" s="657">
        <f t="shared" ref="EP4:EP27" si="35">VLOOKUP(EN4,$V$4:$Y$27,$EP$33,FALSE)</f>
        <v>0.3460120978504172</v>
      </c>
      <c r="EQ4" s="646">
        <f t="shared" ref="EQ4:EQ27" si="36">EP4*$EQ$28</f>
        <v>2705284.55873839</v>
      </c>
      <c r="ER4" s="657">
        <f t="shared" ref="ER4:ER27" si="37">VLOOKUP(EN4,$CI$4:$CP$27,$ER$33,FALSE)</f>
        <v>0.3364037218576969</v>
      </c>
      <c r="ES4" s="646">
        <f t="shared" ref="ES4:ES27" si="38">ER4*$ES$28</f>
        <v>339509.82903158874</v>
      </c>
      <c r="ET4" s="657">
        <f t="shared" ref="ET4:ET27" si="39">VLOOKUP(EN4,$J$4:$M$27,$ET$33,FALSE)</f>
        <v>0.50646866597742968</v>
      </c>
      <c r="EU4" s="646">
        <f t="shared" ref="EU4:EU27" si="40">ET4*$EU$28</f>
        <v>2163786.5273516928</v>
      </c>
      <c r="EV4" s="646">
        <f t="shared" ref="EV4:EV27" si="41">EQ4+ES4+EU4</f>
        <v>5208580.9151216708</v>
      </c>
      <c r="EW4" s="657">
        <f t="shared" ref="EW4:EW27" si="42">EV4/$EV$28</f>
        <v>0.39760152738150695</v>
      </c>
      <c r="EX4" s="709">
        <f t="shared" ref="EX4:EX27" si="43">IF($AT4=0,0,ROUND(IF(VLOOKUP(EN4,$AQ$4:$AT$27,$AZ$30,FALSE)&lt;&gt;0,EV4/VLOOKUP(EN4,$AQ$4:$AT$27,$AZ$30,FALSE)*100,""),6))</f>
        <v>0.47120299999999998</v>
      </c>
      <c r="FB4" s="543">
        <v>1</v>
      </c>
      <c r="FC4" s="645" t="s">
        <v>232</v>
      </c>
      <c r="FD4" s="646">
        <f>C11</f>
        <v>19960070.068912446</v>
      </c>
      <c r="FH4" s="545">
        <v>1</v>
      </c>
      <c r="FI4" s="669">
        <f t="shared" ref="FI4:FI27" si="44">FR4</f>
        <v>1</v>
      </c>
      <c r="FJ4" s="655" t="s">
        <v>380</v>
      </c>
      <c r="FK4" s="657">
        <f t="shared" ref="FK4:FK28" si="45">Y4</f>
        <v>0.3460120978504172</v>
      </c>
      <c r="FL4" s="646">
        <f t="shared" ref="FL4:FL27" si="46">Y4*$FL$28</f>
        <v>6790734.7999889897</v>
      </c>
      <c r="FM4" s="709">
        <f t="shared" ref="FM4:FM27" si="47">IF($AT4=0,0,ROUND(IF(VLOOKUP(FI4,$AQ$4:$AT$27,$AZ$30,FALSE)&lt;&gt;0,FL4/VLOOKUP(FI4,$AQ$4:$AT$27,$AZ$30,FALSE)*100,""),6))</f>
        <v>0.61433499999999996</v>
      </c>
      <c r="FQ4" s="543">
        <v>1</v>
      </c>
      <c r="FR4" s="669">
        <v>1</v>
      </c>
      <c r="FS4" s="655" t="s">
        <v>380</v>
      </c>
      <c r="FT4" s="646">
        <f t="shared" ref="FT4:FT27" si="48">VLOOKUP(FR4,$AQ$4:$AZ$27,$FT$33,FALSE)</f>
        <v>13285421.589074984</v>
      </c>
      <c r="FU4" s="646">
        <f t="shared" ref="FU4:FU27" si="49">VLOOKUP(FR4,$BL$4:$BS$86,$FU$33,FALSE)</f>
        <v>7899221.7598075056</v>
      </c>
      <c r="FV4" s="646">
        <f t="shared" ref="FV4:FV27" si="50">VLOOKUP(FR4,$CI$4:$CQ$27,$FV$33,FALSE)</f>
        <v>8434891.628406601</v>
      </c>
      <c r="FW4" s="646">
        <f>VLOOKUP(FR4,$DH$4:$DP$27,$FW$33,FALSE)</f>
        <v>2620642.3168125255</v>
      </c>
      <c r="FX4" s="646">
        <f t="shared" ref="FX4:FX27" si="51">VLOOKUP(FR4,$DW$4:$EA$27,$FX$33,FALSE)</f>
        <v>1140966.1793041537</v>
      </c>
      <c r="FY4" s="646">
        <f t="shared" ref="FY4:FY27" si="52">VLOOKUP(FR4,$EN$4:$EV$28,$FY$34,FALSE)</f>
        <v>5208580.9151216708</v>
      </c>
      <c r="FZ4" s="646">
        <f t="shared" ref="FZ4:FZ27" si="53">VLOOKUP(FR4,$FI$4:$FL$27,$FZ$33,FALSE)</f>
        <v>6790734.7999889897</v>
      </c>
      <c r="GA4" s="646">
        <f t="shared" ref="GA4:GA24" si="54">SUM(FT4:FZ4)</f>
        <v>45380459.188516431</v>
      </c>
      <c r="GB4" s="746">
        <f t="shared" ref="GB4:GB27" si="55">IF($AT4=0,0,ROUND(IF(VLOOKUP(FR4,$AQ$4:$AT$27,$AZ$30,FALSE)&lt;&gt;0,GA4/VLOOKUP(FR4,$AQ$4:$AT$27,$AZ$30,FALSE)*100,""),6))</f>
        <v>4.1054199999999996</v>
      </c>
      <c r="GF4" s="545">
        <v>1</v>
      </c>
      <c r="GG4" s="669">
        <f t="shared" ref="GG4:GG27" si="56">FR4</f>
        <v>1</v>
      </c>
      <c r="GH4" s="655" t="s">
        <v>380</v>
      </c>
      <c r="GI4" s="709">
        <f t="shared" ref="GI4:GI27" si="57">VLOOKUP(GG4,$AQ$4:$AZ$27,$GI$31,FALSE)</f>
        <v>1.2018880000000001</v>
      </c>
      <c r="GJ4" s="709">
        <f t="shared" ref="GJ4:GJ27" si="58">VLOOKUP(GG4,$BL$4:$BS$27,$GJ$31,FALSE)</f>
        <v>0.71461600000000003</v>
      </c>
      <c r="GK4" s="709">
        <f t="shared" ref="GK4:GK27" si="59">VLOOKUP(GG4,$CI$4:$CQ$27,$GK$31,FALSE)</f>
        <v>0.76307700000000001</v>
      </c>
      <c r="GL4" s="709">
        <f t="shared" ref="GL4:GL27" si="60">VLOOKUP(GG4,$DH$4:$DR$27,$GL$31,FALSE)</f>
        <v>0.23708099999999999</v>
      </c>
      <c r="GM4" s="709">
        <f t="shared" ref="GM4:GM27" si="61">VLOOKUP(GG4,$DW$4:$EA$27,$GM$31,FALSE)</f>
        <v>0.10321900000000001</v>
      </c>
      <c r="GN4" s="709">
        <f t="shared" ref="GN4:GN27" si="62">VLOOKUP(GG4,$EN$4:$EX$28,$GN$31,FALSE)</f>
        <v>0.47120299999999998</v>
      </c>
      <c r="GO4" s="709">
        <f t="shared" ref="GO4:GO27" si="63">VLOOKUP(GG4,$FI$4:$FM$27,$GO$31,FALSE)</f>
        <v>0.61433499999999996</v>
      </c>
      <c r="GP4" s="709">
        <f t="shared" ref="GP4:GP27" si="64">VLOOKUP(GG4,$FR$4:$GB$27,$GP$31,FALSE)</f>
        <v>4.1054199999999996</v>
      </c>
      <c r="GQ4" s="656">
        <f>L4</f>
        <v>1105379295</v>
      </c>
      <c r="GR4" s="530"/>
      <c r="GU4" s="543">
        <v>1</v>
      </c>
      <c r="GV4" s="669">
        <f t="shared" ref="GV4:GV27" si="65">FR4</f>
        <v>1</v>
      </c>
      <c r="GW4" s="655" t="s">
        <v>380</v>
      </c>
      <c r="GX4" s="658" t="s">
        <v>379</v>
      </c>
      <c r="GY4" s="646">
        <f>GA4</f>
        <v>45380459.188516431</v>
      </c>
      <c r="GZ4" s="656">
        <f t="shared" ref="GZ4:GZ27" si="66">VLOOKUP(GV4,$GG$4:$GQ$27,$GZ$34,FALSE)</f>
        <v>1105379295</v>
      </c>
      <c r="HA4" s="709">
        <f>IF(GW4="Specialty Containers",$HA$31,ROUND(IF(GZ4&lt;&gt;0,GY4/GZ4*100,0),6))</f>
        <v>4.1054199999999996</v>
      </c>
      <c r="HB4" s="646">
        <f t="shared" ref="HB4:HB27" si="67">ROUND(HA4,10)*GZ4/100</f>
        <v>45380462.652788989</v>
      </c>
      <c r="HC4" s="749">
        <f t="shared" ref="HC4:HC27" si="68">HB4-GY4</f>
        <v>3.4642725586891174</v>
      </c>
      <c r="HD4" s="549"/>
      <c r="HG4" s="543">
        <v>1</v>
      </c>
      <c r="HH4" s="655" t="s">
        <v>379</v>
      </c>
      <c r="HI4" s="752">
        <f>SUMIF($GX$4:$GX$27,$HH4,GY$4:GY$27)</f>
        <v>126849434.05681849</v>
      </c>
      <c r="HJ4" s="753">
        <f>HI4/HI$6</f>
        <v>0.98180952134753341</v>
      </c>
      <c r="HK4" s="752">
        <f>SUMIF($GX$4:$GX$27,$HH4,HB$4:HB$27)</f>
        <v>126849438.42801139</v>
      </c>
      <c r="HL4" s="749">
        <f>SUMIF($GX$4:$GX$27,$HH4,HC$4:HC$27)</f>
        <v>4.3711928963705304</v>
      </c>
      <c r="HM4" s="549"/>
      <c r="HP4" s="545">
        <v>1</v>
      </c>
      <c r="HQ4" s="761">
        <f t="shared" ref="HQ4:HQ27" si="69">FR4</f>
        <v>1</v>
      </c>
      <c r="HR4" s="655" t="s">
        <v>380</v>
      </c>
      <c r="HS4" s="656">
        <f>L4</f>
        <v>1105379295</v>
      </c>
      <c r="HT4" s="756">
        <f>HA4</f>
        <v>4.1054199999999996</v>
      </c>
      <c r="HU4" s="756">
        <v>3.5634269999999999</v>
      </c>
      <c r="HV4" s="647">
        <f>IF(HU4&lt;&gt;0,HT4/HU4-1,"")</f>
        <v>0.15209880825396449</v>
      </c>
      <c r="HW4" s="756">
        <f>HT4-HU4</f>
        <v>0.54199299999999972</v>
      </c>
      <c r="HX4" s="648">
        <v>10</v>
      </c>
      <c r="IB4" s="764">
        <f>'Actuals Phase I Schedules'!HE26</f>
        <v>2194071252</v>
      </c>
      <c r="IC4" s="764">
        <f>'Actuals Phase I Schedules'!JI26</f>
        <v>2182522571</v>
      </c>
      <c r="ID4" s="765">
        <f>(IC4-IB4)/IB4</f>
        <v>-5.2635852137768221E-3</v>
      </c>
      <c r="IE4" s="764">
        <v>1500000</v>
      </c>
      <c r="IF4" s="766">
        <f>HT28</f>
        <v>5.9197390790365381</v>
      </c>
      <c r="IG4" s="767">
        <f>IF4*IC4/100</f>
        <v>129199641.54427998</v>
      </c>
      <c r="IH4" s="768">
        <v>1.4999999999999999E-2</v>
      </c>
      <c r="II4" s="990">
        <v>316639920</v>
      </c>
      <c r="IJ4" s="765">
        <f>II4/IC4</f>
        <v>0.14507979170860086</v>
      </c>
      <c r="IK4" s="765">
        <f>SUM(HS8,HS15,HS17,HS23:HS24,HS27)/HS28</f>
        <v>1.4276520396177841E-2</v>
      </c>
      <c r="IO4" s="545">
        <v>1</v>
      </c>
      <c r="IP4" s="761">
        <v>1</v>
      </c>
      <c r="IQ4" s="655" t="s">
        <v>380</v>
      </c>
      <c r="IR4" s="769">
        <f>GY4</f>
        <v>45380459.188516431</v>
      </c>
      <c r="IS4" s="770">
        <f>GZ4</f>
        <v>1105379295</v>
      </c>
      <c r="IT4" s="771">
        <f>HA4</f>
        <v>4.1054199999999996</v>
      </c>
      <c r="IU4" s="656">
        <f>IS4*$IJ$4/(1-$IK$4)</f>
        <v>162690857.2189582</v>
      </c>
      <c r="IV4" s="656">
        <f>IS4-IU4</f>
        <v>942688437.78104186</v>
      </c>
      <c r="IW4" s="769">
        <f>IU4*$IH$4</f>
        <v>2440362.8582843728</v>
      </c>
      <c r="IX4" s="769">
        <f>IR4-IW4</f>
        <v>42940096.330232054</v>
      </c>
      <c r="IY4" s="550">
        <f>IX4/IS4*100</f>
        <v>3.8846481496862171</v>
      </c>
      <c r="IZ4" s="550">
        <f>IY4+1.5</f>
        <v>5.3846481496862175</v>
      </c>
      <c r="JA4" s="769">
        <f>(IY4*IV4+IZ4*IU4)/100</f>
        <v>45380459.188516423</v>
      </c>
      <c r="JB4" s="746">
        <f>IT4-IY4</f>
        <v>0.22077185031378255</v>
      </c>
      <c r="JF4" s="545">
        <v>1</v>
      </c>
      <c r="JG4" s="761">
        <f t="shared" ref="JG4:JG27" si="70">FR4</f>
        <v>1</v>
      </c>
      <c r="JH4" s="655" t="s">
        <v>380</v>
      </c>
      <c r="JI4" s="656">
        <f>L4</f>
        <v>1105379295</v>
      </c>
      <c r="JJ4" s="756">
        <f>IY4</f>
        <v>3.8846481496862171</v>
      </c>
      <c r="JK4" s="756">
        <v>3.3411942282427152</v>
      </c>
      <c r="JL4" s="647">
        <f>IF(JK4&lt;&gt;0,JJ4/JK4-1,"")</f>
        <v>0.16265259793930897</v>
      </c>
      <c r="JM4" s="756">
        <f>JJ4-JK4</f>
        <v>0.54345392144350191</v>
      </c>
      <c r="JN4" s="648">
        <v>10</v>
      </c>
      <c r="JS4" s="756">
        <v>3.8846481496862171</v>
      </c>
      <c r="JT4" s="756">
        <f>JJ4-JS4</f>
        <v>0</v>
      </c>
      <c r="JU4" s="1009">
        <v>1105379295</v>
      </c>
      <c r="JV4" s="1009">
        <f>JI4-JU4</f>
        <v>0</v>
      </c>
      <c r="JW4" s="1069">
        <f>JT4/JS4</f>
        <v>0</v>
      </c>
      <c r="JX4" s="997">
        <v>42940096.330232054</v>
      </c>
      <c r="JY4" s="997">
        <f>JI4*JJ4/100</f>
        <v>42940096.330232054</v>
      </c>
      <c r="JZ4" s="516"/>
      <c r="KA4" s="516" t="s">
        <v>442</v>
      </c>
      <c r="KB4" s="997">
        <f>SUMPRODUCT(JV4:JV27,JS4:JS27)/100</f>
        <v>0</v>
      </c>
      <c r="KC4" s="516"/>
      <c r="KE4" s="516"/>
      <c r="KF4" s="516"/>
    </row>
    <row r="5" spans="1:292" ht="16.5" x14ac:dyDescent="0.3">
      <c r="A5" s="222">
        <v>2</v>
      </c>
      <c r="B5" s="649" t="s">
        <v>57</v>
      </c>
      <c r="C5" s="650">
        <f>'Actuals Phase I Schedules'!MC15</f>
        <v>1983407.3772948217</v>
      </c>
      <c r="D5" s="651">
        <f t="shared" si="0"/>
        <v>1.5355840776350731E-2</v>
      </c>
      <c r="E5" s="986">
        <v>9.0876832324627621E-2</v>
      </c>
      <c r="I5" s="222">
        <f>+I4+1</f>
        <v>2</v>
      </c>
      <c r="J5" s="659">
        <f t="shared" si="1"/>
        <v>2</v>
      </c>
      <c r="K5" s="660" t="s">
        <v>385</v>
      </c>
      <c r="L5" s="991">
        <v>940536</v>
      </c>
      <c r="M5" s="662">
        <f t="shared" si="2"/>
        <v>4.3093987319868136E-4</v>
      </c>
      <c r="N5" s="661">
        <v>114</v>
      </c>
      <c r="O5" s="661">
        <f t="shared" ref="O5:O27" si="71">IFERROR(L5/N5,0)</f>
        <v>8250.3157894736851</v>
      </c>
      <c r="P5" s="662">
        <f t="shared" si="3"/>
        <v>4.6569731873986886E-3</v>
      </c>
      <c r="Q5" s="663" t="s">
        <v>379</v>
      </c>
      <c r="U5" s="551">
        <f>+U4+1</f>
        <v>2</v>
      </c>
      <c r="V5" s="670">
        <f t="shared" si="4"/>
        <v>2</v>
      </c>
      <c r="W5" s="660" t="s">
        <v>385</v>
      </c>
      <c r="X5" s="671">
        <f t="shared" ref="X5:X27" si="72">SUM(FT5:FX5)</f>
        <v>332155.12128946109</v>
      </c>
      <c r="Y5" s="662">
        <f t="shared" si="5"/>
        <v>3.4429524686800765E-3</v>
      </c>
      <c r="AC5" s="551">
        <f>+AC4+1</f>
        <v>2</v>
      </c>
      <c r="AD5" s="681">
        <v>2</v>
      </c>
      <c r="AE5" s="682" t="s">
        <v>385</v>
      </c>
      <c r="AF5" s="683">
        <v>28.35</v>
      </c>
      <c r="AJ5" s="551">
        <f t="shared" ref="AJ5:AJ7" si="73">+AJ4+1</f>
        <v>2</v>
      </c>
      <c r="AK5" s="688" t="s">
        <v>381</v>
      </c>
      <c r="AL5" s="690">
        <f>'Actuals Phase I Schedules'!AH19+'Actuals Phase I Schedules'!AI19</f>
        <v>1937842.2116408288</v>
      </c>
      <c r="AM5" s="546"/>
      <c r="AN5" s="547"/>
      <c r="AO5" s="546"/>
      <c r="AP5" s="551">
        <f t="shared" ref="AP5:AP27" si="74">+AP4+1</f>
        <v>2</v>
      </c>
      <c r="AQ5" s="697">
        <f t="shared" si="6"/>
        <v>2</v>
      </c>
      <c r="AR5" s="660" t="s">
        <v>385</v>
      </c>
      <c r="AS5" s="660">
        <f t="shared" si="7"/>
        <v>28.35</v>
      </c>
      <c r="AT5" s="698">
        <f t="shared" ref="AT5:AT27" si="75">L5</f>
        <v>940536</v>
      </c>
      <c r="AU5" s="698">
        <f>AT5*AS5/3600</f>
        <v>7406.7210000000005</v>
      </c>
      <c r="AV5" s="699">
        <f t="shared" si="8"/>
        <v>7650.4620361328916</v>
      </c>
      <c r="AW5" s="700">
        <f t="shared" si="9"/>
        <v>21.592508896755891</v>
      </c>
      <c r="AX5" s="671">
        <f>AV5*AW5</f>
        <v>165192.66957949265</v>
      </c>
      <c r="AY5" s="465">
        <f t="shared" ref="AY5:AY28" si="76">AX5/$AX$28</f>
        <v>3.9479282627737878E-3</v>
      </c>
      <c r="AZ5" s="553">
        <f t="shared" si="10"/>
        <v>17.563673000000001</v>
      </c>
      <c r="BD5" s="222">
        <v>2</v>
      </c>
      <c r="BE5" s="665" t="s">
        <v>317</v>
      </c>
      <c r="BF5" s="667">
        <v>0.5</v>
      </c>
      <c r="BG5" s="707">
        <f>BF5*$BG$6</f>
        <v>9586712.8881295025</v>
      </c>
      <c r="BK5" s="222">
        <f>+BK4+1</f>
        <v>2</v>
      </c>
      <c r="BL5" s="663">
        <f t="shared" si="11"/>
        <v>2</v>
      </c>
      <c r="BM5" s="660" t="s">
        <v>385</v>
      </c>
      <c r="BN5" s="662">
        <f t="shared" ref="BN5:BN27" si="77">VLOOKUP(BL5,$AQ$4:$AY$28,$BN$33,FALSE)</f>
        <v>3.9479282627737878E-3</v>
      </c>
      <c r="BO5" s="671">
        <f t="shared" ref="BO5:BO27" si="78">BN5*$BO$28</f>
        <v>37847.654758144192</v>
      </c>
      <c r="BP5" s="662">
        <f t="shared" ref="BP5:BP27" si="79">VLOOKUP(BL5,$J$4:$M$27,$BP$33,FALSE)</f>
        <v>4.3093987319868136E-4</v>
      </c>
      <c r="BQ5" s="671">
        <f t="shared" ref="BQ5:BQ27" si="80">BP5*$BQ$28</f>
        <v>4131.296836402692</v>
      </c>
      <c r="BR5" s="710">
        <f t="shared" si="12"/>
        <v>41978.951594546881</v>
      </c>
      <c r="BS5" s="711">
        <f t="shared" si="13"/>
        <v>4.4633010000000004</v>
      </c>
      <c r="BW5" s="222">
        <f>+BW4+1</f>
        <v>2</v>
      </c>
      <c r="BX5" s="660" t="s">
        <v>382</v>
      </c>
      <c r="BY5" s="716">
        <v>0.15813243766864218</v>
      </c>
      <c r="BZ5" s="717">
        <f>BY5*$BZ$9</f>
        <v>3964967.9477535193</v>
      </c>
      <c r="CA5" s="718">
        <v>1</v>
      </c>
      <c r="CB5" s="718"/>
      <c r="CC5" s="717">
        <f>CA5*$BZ5</f>
        <v>3964967.9477535193</v>
      </c>
      <c r="CD5" s="717">
        <f t="shared" si="14"/>
        <v>0</v>
      </c>
      <c r="CH5" s="222">
        <f>+CH4+1</f>
        <v>2</v>
      </c>
      <c r="CI5" s="681">
        <f t="shared" si="15"/>
        <v>2</v>
      </c>
      <c r="CJ5" s="660" t="s">
        <v>385</v>
      </c>
      <c r="CK5" s="723">
        <f t="shared" si="16"/>
        <v>4.3093987319868136E-4</v>
      </c>
      <c r="CL5" s="650">
        <f t="shared" si="17"/>
        <v>2526.0569652339682</v>
      </c>
      <c r="CM5" s="723">
        <f t="shared" si="18"/>
        <v>4.6569731873986886E-3</v>
      </c>
      <c r="CN5" s="650">
        <f t="shared" si="19"/>
        <v>89469.666199422398</v>
      </c>
      <c r="CO5" s="650">
        <f t="shared" si="20"/>
        <v>91995.72316465636</v>
      </c>
      <c r="CP5" s="723">
        <f t="shared" si="21"/>
        <v>3.669010229290514E-3</v>
      </c>
      <c r="CQ5" s="724">
        <f t="shared" si="22"/>
        <v>9.7812020000000004</v>
      </c>
      <c r="CU5" s="222">
        <f>+CU4+1</f>
        <v>2</v>
      </c>
      <c r="CV5" s="733" t="s">
        <v>49</v>
      </c>
      <c r="CW5" s="723">
        <v>1</v>
      </c>
      <c r="CX5" s="723">
        <v>0</v>
      </c>
      <c r="CY5" s="734">
        <v>0</v>
      </c>
      <c r="CZ5" s="650">
        <f t="shared" ref="CZ5:DB6" si="81">CW5*$DC5</f>
        <v>376694.73457649816</v>
      </c>
      <c r="DA5" s="650">
        <f t="shared" si="81"/>
        <v>0</v>
      </c>
      <c r="DB5" s="650">
        <f t="shared" si="81"/>
        <v>0</v>
      </c>
      <c r="DC5" s="955">
        <v>376694.73457649816</v>
      </c>
      <c r="DG5" s="551">
        <f>+DG4+1</f>
        <v>2</v>
      </c>
      <c r="DH5" s="677">
        <f t="shared" si="23"/>
        <v>2</v>
      </c>
      <c r="DI5" s="660" t="s">
        <v>385</v>
      </c>
      <c r="DJ5" s="723">
        <f>VLOOKUP(DH5,$CI$4:$CP$27,$DJ$33,FALSE)</f>
        <v>3.669010229290514E-3</v>
      </c>
      <c r="DK5" s="650">
        <f t="shared" ref="DK5:DK27" si="82">DJ5*$DK$28</f>
        <v>1382.0968344810469</v>
      </c>
      <c r="DL5" s="723">
        <f t="shared" si="25"/>
        <v>4.6569731873986886E-3</v>
      </c>
      <c r="DM5" s="650">
        <f t="shared" si="26"/>
        <v>11400.901426143937</v>
      </c>
      <c r="DN5" s="723">
        <f t="shared" si="27"/>
        <v>4.3093987319868136E-4</v>
      </c>
      <c r="DO5" s="650">
        <f t="shared" ref="DO5:DO27" si="83">DN5*$DO$28</f>
        <v>1529.3470080041952</v>
      </c>
      <c r="DP5" s="650">
        <f t="shared" ref="DP5:DP27" si="84">DK5+DM5+DO5</f>
        <v>14312.345268629178</v>
      </c>
      <c r="DQ5" s="723">
        <f t="shared" si="28"/>
        <v>2.24553370312983E-3</v>
      </c>
      <c r="DR5" s="724">
        <f t="shared" si="29"/>
        <v>1.521722</v>
      </c>
      <c r="DV5" s="551">
        <f>+DV4+1</f>
        <v>2</v>
      </c>
      <c r="DW5" s="677">
        <f t="shared" si="30"/>
        <v>2</v>
      </c>
      <c r="DX5" s="660" t="s">
        <v>385</v>
      </c>
      <c r="DY5" s="723">
        <f t="shared" si="31"/>
        <v>4.6569731873986886E-3</v>
      </c>
      <c r="DZ5" s="650">
        <f t="shared" si="32"/>
        <v>18675.431682136012</v>
      </c>
      <c r="EA5" s="724">
        <f t="shared" si="33"/>
        <v>1.985616</v>
      </c>
      <c r="EE5" s="222">
        <v>2</v>
      </c>
      <c r="EF5" s="660" t="s">
        <v>49</v>
      </c>
      <c r="EG5" s="650">
        <v>927204.15030545439</v>
      </c>
      <c r="EH5" s="651">
        <f>EG5/$EG$7</f>
        <v>7.7040694403786011E-2</v>
      </c>
      <c r="EI5" s="650">
        <f>EH5*$EI$7</f>
        <v>1009233.2723215404</v>
      </c>
      <c r="EM5" s="551">
        <f>+EM4+1</f>
        <v>2</v>
      </c>
      <c r="EN5" s="677">
        <f t="shared" si="34"/>
        <v>2</v>
      </c>
      <c r="EO5" s="660" t="s">
        <v>385</v>
      </c>
      <c r="EP5" s="723">
        <f t="shared" si="35"/>
        <v>3.4429524686800765E-3</v>
      </c>
      <c r="EQ5" s="650">
        <f t="shared" si="36"/>
        <v>26918.614140529251</v>
      </c>
      <c r="ER5" s="723">
        <f t="shared" si="37"/>
        <v>3.669010229290514E-3</v>
      </c>
      <c r="ES5" s="650">
        <f t="shared" si="38"/>
        <v>3702.8871998880709</v>
      </c>
      <c r="ET5" s="723">
        <f t="shared" si="39"/>
        <v>4.3093987319868136E-4</v>
      </c>
      <c r="EU5" s="650">
        <f t="shared" si="40"/>
        <v>1841.1047994971279</v>
      </c>
      <c r="EV5" s="650">
        <f t="shared" si="41"/>
        <v>32462.606139914449</v>
      </c>
      <c r="EW5" s="723">
        <f t="shared" si="42"/>
        <v>2.4780611061530878E-3</v>
      </c>
      <c r="EX5" s="724">
        <f t="shared" si="43"/>
        <v>3.4515009999999999</v>
      </c>
      <c r="FB5" s="297">
        <v>2</v>
      </c>
      <c r="FC5" s="745" t="s">
        <v>383</v>
      </c>
      <c r="FD5" s="727">
        <f>C12</f>
        <v>-334355.1237527568</v>
      </c>
      <c r="FH5" s="551">
        <f>+FH4+1</f>
        <v>2</v>
      </c>
      <c r="FI5" s="670">
        <f t="shared" si="44"/>
        <v>2</v>
      </c>
      <c r="FJ5" s="660" t="s">
        <v>385</v>
      </c>
      <c r="FK5" s="723">
        <f t="shared" si="45"/>
        <v>3.4429524686800765E-3</v>
      </c>
      <c r="FL5" s="650">
        <f t="shared" si="46"/>
        <v>67570.403720049027</v>
      </c>
      <c r="FM5" s="724">
        <f t="shared" si="47"/>
        <v>7.1842439999999996</v>
      </c>
      <c r="FQ5" s="222">
        <f t="shared" ref="FQ5:FQ13" si="85">+FQ4+1</f>
        <v>2</v>
      </c>
      <c r="FR5" s="670">
        <v>2</v>
      </c>
      <c r="FS5" s="660" t="s">
        <v>385</v>
      </c>
      <c r="FT5" s="650">
        <f t="shared" si="48"/>
        <v>165192.66957949265</v>
      </c>
      <c r="FU5" s="650">
        <f t="shared" si="49"/>
        <v>41978.951594546881</v>
      </c>
      <c r="FV5" s="650">
        <f t="shared" si="50"/>
        <v>91995.72316465636</v>
      </c>
      <c r="FW5" s="650">
        <f t="shared" ref="FW5:FW27" si="86">VLOOKUP(FR5,$DH$4:$DP$27,$FW$33,FALSE)</f>
        <v>14312.345268629178</v>
      </c>
      <c r="FX5" s="650">
        <f t="shared" si="51"/>
        <v>18675.431682136012</v>
      </c>
      <c r="FY5" s="650">
        <f t="shared" si="52"/>
        <v>32462.606139914449</v>
      </c>
      <c r="FZ5" s="650">
        <f t="shared" si="53"/>
        <v>67570.403720049027</v>
      </c>
      <c r="GA5" s="650">
        <f t="shared" si="54"/>
        <v>432188.13114942453</v>
      </c>
      <c r="GB5" s="747">
        <f t="shared" si="55"/>
        <v>45.951259</v>
      </c>
      <c r="GF5" s="551">
        <f t="shared" ref="GF5:GF27" si="87">+GF4+1</f>
        <v>2</v>
      </c>
      <c r="GG5" s="670">
        <f t="shared" si="56"/>
        <v>2</v>
      </c>
      <c r="GH5" s="660" t="s">
        <v>385</v>
      </c>
      <c r="GI5" s="724">
        <f t="shared" si="57"/>
        <v>17.563673000000001</v>
      </c>
      <c r="GJ5" s="724">
        <f t="shared" si="58"/>
        <v>4.4633010000000004</v>
      </c>
      <c r="GK5" s="724">
        <f t="shared" si="59"/>
        <v>9.7812020000000004</v>
      </c>
      <c r="GL5" s="724">
        <f t="shared" si="60"/>
        <v>1.521722</v>
      </c>
      <c r="GM5" s="724">
        <f t="shared" si="61"/>
        <v>1.985616</v>
      </c>
      <c r="GN5" s="724">
        <f t="shared" si="62"/>
        <v>3.4515009999999999</v>
      </c>
      <c r="GO5" s="724">
        <f t="shared" si="63"/>
        <v>7.1842439999999996</v>
      </c>
      <c r="GP5" s="724">
        <f t="shared" si="64"/>
        <v>45.951259</v>
      </c>
      <c r="GQ5" s="661">
        <f t="shared" ref="GQ5:GQ27" si="88">L5</f>
        <v>940536</v>
      </c>
      <c r="GR5" s="530"/>
      <c r="GU5" s="222">
        <f t="shared" ref="GU5:GU27" si="89">+GU4+1</f>
        <v>2</v>
      </c>
      <c r="GV5" s="670">
        <f t="shared" si="65"/>
        <v>2</v>
      </c>
      <c r="GW5" s="660" t="s">
        <v>385</v>
      </c>
      <c r="GX5" s="663" t="s">
        <v>379</v>
      </c>
      <c r="GY5" s="671">
        <f t="shared" ref="GY5:GY27" si="90">GA5</f>
        <v>432188.13114942453</v>
      </c>
      <c r="GZ5" s="661">
        <f t="shared" si="66"/>
        <v>940536</v>
      </c>
      <c r="HA5" s="724">
        <f t="shared" ref="HA5:HA27" si="91">IF(GW5="Specialty Containers",$HA$31,ROUND(IF(GZ5&lt;&gt;0,GY5/GZ5*100,0),6))</f>
        <v>45.951259</v>
      </c>
      <c r="HB5" s="650">
        <f t="shared" si="67"/>
        <v>432188.13334824005</v>
      </c>
      <c r="HC5" s="750">
        <f t="shared" si="68"/>
        <v>2.1988155203871429E-3</v>
      </c>
      <c r="HD5" s="549"/>
      <c r="HG5" s="297">
        <v>2</v>
      </c>
      <c r="HH5" s="665" t="s">
        <v>384</v>
      </c>
      <c r="HI5" s="754">
        <f>SUMIF($GX$4:$GX$27,$HH5,GY$4:GY$27)</f>
        <v>2350203.2442311659</v>
      </c>
      <c r="HJ5" s="755">
        <f>HI5/HI$6</f>
        <v>1.8190478652466559E-2</v>
      </c>
      <c r="HK5" s="754">
        <f>SUMIF($GX$4:$GX$27,$HH5,HB$4:HB$27)</f>
        <v>2350203.1162686003</v>
      </c>
      <c r="HL5" s="751">
        <f>SUMIF($GX$4:$GX$27,$HH5,HC$4:HC$27)</f>
        <v>-0.12796256563160568</v>
      </c>
      <c r="HM5" s="549"/>
      <c r="HP5" s="551">
        <f>+HP4+1</f>
        <v>2</v>
      </c>
      <c r="HQ5" s="762">
        <f t="shared" si="69"/>
        <v>2</v>
      </c>
      <c r="HR5" s="660" t="s">
        <v>385</v>
      </c>
      <c r="HS5" s="661">
        <f t="shared" ref="HS5:HS27" si="92">L5</f>
        <v>940536</v>
      </c>
      <c r="HT5" s="757">
        <f t="shared" ref="HT5:HT27" si="93">HA5</f>
        <v>45.951259</v>
      </c>
      <c r="HU5" s="757">
        <v>41.377299000000001</v>
      </c>
      <c r="HV5" s="651">
        <f t="shared" ref="HV5:HV27" si="94">IF(HU5&lt;&gt;0,HT5/HU5-1,"")</f>
        <v>0.11054273987289509</v>
      </c>
      <c r="HW5" s="757">
        <f t="shared" ref="HW5:HW28" si="95">HT5-HU5</f>
        <v>4.5739599999999996</v>
      </c>
      <c r="HX5" s="652">
        <v>25</v>
      </c>
      <c r="IO5" s="551">
        <v>2</v>
      </c>
      <c r="IP5" s="762">
        <v>2</v>
      </c>
      <c r="IQ5" s="660" t="s">
        <v>385</v>
      </c>
      <c r="IR5" s="772">
        <f t="shared" ref="IR5:IT27" si="96">GY5</f>
        <v>432188.13114942453</v>
      </c>
      <c r="IS5" s="773">
        <f t="shared" si="96"/>
        <v>940536</v>
      </c>
      <c r="IT5" s="774">
        <f t="shared" si="96"/>
        <v>45.951259</v>
      </c>
      <c r="IU5" s="661">
        <f t="shared" ref="IU5:IU26" si="97">IS5*$IJ$4/(1-$IK$4)</f>
        <v>138429.0521610413</v>
      </c>
      <c r="IV5" s="661">
        <f t="shared" ref="IV5:IV27" si="98">IS5-IU5</f>
        <v>802106.9478389587</v>
      </c>
      <c r="IW5" s="772">
        <f>IU5*$IH$4</f>
        <v>2076.4357824156195</v>
      </c>
      <c r="IX5" s="772">
        <f t="shared" ref="IX5:IX27" si="99">IR5-IW5</f>
        <v>430111.69536700891</v>
      </c>
      <c r="IY5" s="455">
        <f t="shared" ref="IY5:IY25" si="100">IX5/IS5*100</f>
        <v>45.730487229304238</v>
      </c>
      <c r="IZ5" s="555">
        <f t="shared" ref="IZ5:IZ26" si="101">IY5+1.5</f>
        <v>47.230487229304238</v>
      </c>
      <c r="JA5" s="772">
        <f t="shared" ref="JA5:JA27" si="102">(IY5*IV5+IZ5*IU5)/100</f>
        <v>432188.13114942453</v>
      </c>
      <c r="JB5" s="778">
        <f t="shared" ref="JB5:JB27" si="103">IT5-IY5</f>
        <v>0.22077177069576237</v>
      </c>
      <c r="JF5" s="551">
        <f>+JF4+1</f>
        <v>2</v>
      </c>
      <c r="JG5" s="762">
        <f t="shared" si="70"/>
        <v>2</v>
      </c>
      <c r="JH5" s="660" t="s">
        <v>385</v>
      </c>
      <c r="JI5" s="661">
        <f t="shared" ref="JI5:JI27" si="104">L5</f>
        <v>940536</v>
      </c>
      <c r="JJ5" s="757">
        <f t="shared" ref="JJ5:JJ27" si="105">IY5</f>
        <v>45.730487229304238</v>
      </c>
      <c r="JK5" s="757">
        <v>41.15506612786816</v>
      </c>
      <c r="JL5" s="651">
        <f t="shared" ref="JL5" si="106">IF(JK5&lt;&gt;0,JJ5/JK5-1,"")</f>
        <v>0.11117516096852609</v>
      </c>
      <c r="JM5" s="757">
        <f t="shared" ref="JM5:JM28" si="107">JJ5-JK5</f>
        <v>4.5754211014360777</v>
      </c>
      <c r="JN5" s="652">
        <v>25</v>
      </c>
      <c r="JS5" s="757">
        <v>45.730487229304238</v>
      </c>
      <c r="JT5" s="757">
        <f t="shared" ref="JT5:JT28" si="108">JJ5-JS5</f>
        <v>0</v>
      </c>
      <c r="JU5" s="1010">
        <v>940536</v>
      </c>
      <c r="JV5" s="1010">
        <f t="shared" ref="JV5:JV27" si="109">JI5-JU5</f>
        <v>0</v>
      </c>
      <c r="JW5" s="1069">
        <f t="shared" ref="JW5:JW28" si="110">JT5/JS5</f>
        <v>0</v>
      </c>
      <c r="JX5" s="997">
        <v>430111.69536700891</v>
      </c>
      <c r="JY5" s="997">
        <f t="shared" ref="JY5:JY28" si="111">JI5*JJ5/100</f>
        <v>430111.69536700891</v>
      </c>
      <c r="JZ5" s="516"/>
      <c r="KA5" s="516" t="s">
        <v>443</v>
      </c>
      <c r="KB5" s="997">
        <f>SUMPRODUCT(JT4:JT27,JI4:JI27)</f>
        <v>0</v>
      </c>
      <c r="KC5" s="516"/>
      <c r="KE5" s="516"/>
      <c r="KF5" s="516"/>
    </row>
    <row r="6" spans="1:292" ht="17.25" thickBot="1" x14ac:dyDescent="0.35">
      <c r="A6" s="543">
        <v>3</v>
      </c>
      <c r="B6" s="645" t="s">
        <v>48</v>
      </c>
      <c r="C6" s="646">
        <f>'Actuals Phase I Schedules'!MC16</f>
        <v>19173425.776259005</v>
      </c>
      <c r="D6" s="647">
        <f t="shared" si="0"/>
        <v>0.14844357076002135</v>
      </c>
      <c r="E6" s="986">
        <v>0.87345682084506993</v>
      </c>
      <c r="I6" s="543">
        <f t="shared" ref="I6:I21" si="112">+I5+1</f>
        <v>3</v>
      </c>
      <c r="J6" s="654">
        <f t="shared" si="1"/>
        <v>3</v>
      </c>
      <c r="K6" s="655" t="s">
        <v>389</v>
      </c>
      <c r="L6" s="991">
        <v>2959233</v>
      </c>
      <c r="M6" s="657">
        <f t="shared" si="2"/>
        <v>1.3558773867085932E-3</v>
      </c>
      <c r="N6" s="656">
        <v>816</v>
      </c>
      <c r="O6" s="656">
        <f t="shared" si="71"/>
        <v>3626.5110294117649</v>
      </c>
      <c r="P6" s="657">
        <f t="shared" si="3"/>
        <v>2.0470203879133677E-3</v>
      </c>
      <c r="Q6" s="658" t="s">
        <v>379</v>
      </c>
      <c r="U6" s="545">
        <f t="shared" ref="U6:U27" si="113">+U5+1</f>
        <v>3</v>
      </c>
      <c r="V6" s="669">
        <f t="shared" si="4"/>
        <v>3</v>
      </c>
      <c r="W6" s="655" t="s">
        <v>389</v>
      </c>
      <c r="X6" s="646">
        <f t="shared" si="72"/>
        <v>220753.06436595603</v>
      </c>
      <c r="Y6" s="657">
        <f t="shared" si="5"/>
        <v>2.2882149309542362E-3</v>
      </c>
      <c r="AC6" s="545">
        <f t="shared" ref="AC6:AC27" si="114">+AC5+1</f>
        <v>3</v>
      </c>
      <c r="AD6" s="678">
        <v>3</v>
      </c>
      <c r="AE6" s="679" t="s">
        <v>389</v>
      </c>
      <c r="AF6" s="680">
        <v>6.29</v>
      </c>
      <c r="AJ6" s="545">
        <f t="shared" si="73"/>
        <v>3</v>
      </c>
      <c r="AK6" s="556" t="s">
        <v>386</v>
      </c>
      <c r="AL6" s="691">
        <f>AL4/AL5</f>
        <v>21.592508896755891</v>
      </c>
      <c r="AM6" s="557"/>
      <c r="AN6" s="558"/>
      <c r="AO6" s="557"/>
      <c r="AP6" s="545">
        <f t="shared" si="74"/>
        <v>3</v>
      </c>
      <c r="AQ6" s="693">
        <f t="shared" si="6"/>
        <v>3</v>
      </c>
      <c r="AR6" s="655" t="s">
        <v>389</v>
      </c>
      <c r="AS6" s="655">
        <f t="shared" si="7"/>
        <v>6.29</v>
      </c>
      <c r="AT6" s="694">
        <f t="shared" si="75"/>
        <v>2959233</v>
      </c>
      <c r="AU6" s="694">
        <f t="shared" ref="AU6:AU27" si="115">AT6*AS6/3600</f>
        <v>5170.4376583333333</v>
      </c>
      <c r="AV6" s="695">
        <f t="shared" si="8"/>
        <v>5340.5868825450571</v>
      </c>
      <c r="AW6" s="696">
        <f t="shared" si="9"/>
        <v>21.592508896755891</v>
      </c>
      <c r="AX6" s="646">
        <f>AV6*AW6</f>
        <v>115316.66977525195</v>
      </c>
      <c r="AY6" s="544">
        <f t="shared" si="76"/>
        <v>2.7559451695620889E-3</v>
      </c>
      <c r="AZ6" s="548">
        <f t="shared" si="10"/>
        <v>3.8968430000000001</v>
      </c>
      <c r="BD6" s="559">
        <v>3</v>
      </c>
      <c r="BE6" s="560" t="s">
        <v>71</v>
      </c>
      <c r="BF6" s="784">
        <f>SUM(BF4:BF5)</f>
        <v>1</v>
      </c>
      <c r="BG6" s="785">
        <f>C6</f>
        <v>19173425.776259005</v>
      </c>
      <c r="BK6" s="543">
        <f t="shared" ref="BK6:BK27" si="116">+BK5+1</f>
        <v>3</v>
      </c>
      <c r="BL6" s="658">
        <f t="shared" si="11"/>
        <v>3</v>
      </c>
      <c r="BM6" s="655" t="s">
        <v>389</v>
      </c>
      <c r="BN6" s="657">
        <f t="shared" si="77"/>
        <v>2.7559451695620889E-3</v>
      </c>
      <c r="BO6" s="646">
        <f t="shared" si="78"/>
        <v>26420.455076019123</v>
      </c>
      <c r="BP6" s="657">
        <f t="shared" si="79"/>
        <v>1.3558773867085932E-3</v>
      </c>
      <c r="BQ6" s="646">
        <f t="shared" si="80"/>
        <v>12998.407217882621</v>
      </c>
      <c r="BR6" s="708">
        <f t="shared" si="12"/>
        <v>39418.862293901744</v>
      </c>
      <c r="BS6" s="709">
        <f t="shared" si="13"/>
        <v>1.332063</v>
      </c>
      <c r="BW6" s="543">
        <f>+BW5+1</f>
        <v>3</v>
      </c>
      <c r="BX6" s="655" t="s">
        <v>387</v>
      </c>
      <c r="BY6" s="647">
        <v>0.11819476827566944</v>
      </c>
      <c r="BZ6" s="715">
        <f>BY6*$BZ$9</f>
        <v>2963582.1385817751</v>
      </c>
      <c r="CA6" s="648"/>
      <c r="CB6" s="648">
        <v>1</v>
      </c>
      <c r="CC6" s="715">
        <f t="shared" si="14"/>
        <v>0</v>
      </c>
      <c r="CD6" s="715">
        <f t="shared" si="14"/>
        <v>2963582.1385817751</v>
      </c>
      <c r="CH6" s="543">
        <f t="shared" ref="CH6:CH27" si="117">+CH5+1</f>
        <v>3</v>
      </c>
      <c r="CI6" s="678">
        <f t="shared" si="15"/>
        <v>3</v>
      </c>
      <c r="CJ6" s="655" t="s">
        <v>389</v>
      </c>
      <c r="CK6" s="657">
        <f t="shared" si="16"/>
        <v>1.3558773867085932E-3</v>
      </c>
      <c r="CL6" s="646">
        <f t="shared" si="17"/>
        <v>7947.7990543692231</v>
      </c>
      <c r="CM6" s="657">
        <f t="shared" si="18"/>
        <v>2.0470203879133677E-3</v>
      </c>
      <c r="CN6" s="646">
        <f t="shared" si="19"/>
        <v>39327.310559914076</v>
      </c>
      <c r="CO6" s="646">
        <f t="shared" si="20"/>
        <v>47275.109614283298</v>
      </c>
      <c r="CP6" s="657">
        <f t="shared" si="21"/>
        <v>1.8854448315514111E-3</v>
      </c>
      <c r="CQ6" s="709">
        <f t="shared" si="22"/>
        <v>1.5975459999999999</v>
      </c>
      <c r="CU6" s="561">
        <v>3</v>
      </c>
      <c r="CV6" s="735" t="s">
        <v>377</v>
      </c>
      <c r="CW6" s="736">
        <v>0</v>
      </c>
      <c r="CX6" s="736">
        <v>0</v>
      </c>
      <c r="CY6" s="737">
        <v>1</v>
      </c>
      <c r="CZ6" s="738">
        <f t="shared" si="81"/>
        <v>0</v>
      </c>
      <c r="DA6" s="738">
        <f t="shared" si="81"/>
        <v>0</v>
      </c>
      <c r="DB6" s="738">
        <f t="shared" si="81"/>
        <v>1100728.5042167718</v>
      </c>
      <c r="DC6" s="968">
        <v>1100728.5042167718</v>
      </c>
      <c r="DG6" s="545">
        <f t="shared" ref="DG6:DG27" si="118">+DG5+1</f>
        <v>3</v>
      </c>
      <c r="DH6" s="739">
        <f t="shared" si="23"/>
        <v>3</v>
      </c>
      <c r="DI6" s="655" t="s">
        <v>389</v>
      </c>
      <c r="DJ6" s="657">
        <f t="shared" si="24"/>
        <v>1.8854448315514111E-3</v>
      </c>
      <c r="DK6" s="646">
        <f t="shared" si="82"/>
        <v>710.23714037988907</v>
      </c>
      <c r="DL6" s="657">
        <f t="shared" si="25"/>
        <v>2.0470203879133677E-3</v>
      </c>
      <c r="DM6" s="646">
        <f t="shared" si="26"/>
        <v>5011.3833000063714</v>
      </c>
      <c r="DN6" s="657">
        <f t="shared" si="27"/>
        <v>1.3558773867085932E-3</v>
      </c>
      <c r="DO6" s="646">
        <f t="shared" si="83"/>
        <v>4811.8244644939468</v>
      </c>
      <c r="DP6" s="646">
        <f t="shared" si="84"/>
        <v>10533.444904880207</v>
      </c>
      <c r="DQ6" s="657">
        <f t="shared" si="28"/>
        <v>1.6526435814691028E-3</v>
      </c>
      <c r="DR6" s="709">
        <f t="shared" si="29"/>
        <v>0.35595199999999999</v>
      </c>
      <c r="DV6" s="545">
        <f t="shared" ref="DV6:DV27" si="119">+DV5+1</f>
        <v>3</v>
      </c>
      <c r="DW6" s="739">
        <f t="shared" si="30"/>
        <v>3</v>
      </c>
      <c r="DX6" s="655" t="s">
        <v>389</v>
      </c>
      <c r="DY6" s="657">
        <f t="shared" si="31"/>
        <v>2.0470203879133677E-3</v>
      </c>
      <c r="DZ6" s="646">
        <f t="shared" si="32"/>
        <v>8208.97777763882</v>
      </c>
      <c r="EA6" s="709">
        <f t="shared" si="33"/>
        <v>0.27740199999999998</v>
      </c>
      <c r="EE6" s="561">
        <v>3</v>
      </c>
      <c r="EF6" s="719" t="s">
        <v>169</v>
      </c>
      <c r="EG6" s="738">
        <v>3925054.0147022721</v>
      </c>
      <c r="EH6" s="720">
        <f>EG6/$EG$7</f>
        <v>0.32612978141374083</v>
      </c>
      <c r="EI6" s="738">
        <f>EH6*$EI$7</f>
        <v>4272300.880007688</v>
      </c>
      <c r="EM6" s="545">
        <f t="shared" ref="EM6:EM27" si="120">+EM5+1</f>
        <v>3</v>
      </c>
      <c r="EN6" s="739">
        <f t="shared" si="34"/>
        <v>3</v>
      </c>
      <c r="EO6" s="655" t="s">
        <v>389</v>
      </c>
      <c r="EP6" s="657">
        <f t="shared" si="35"/>
        <v>2.2882149309542362E-3</v>
      </c>
      <c r="EQ6" s="646">
        <f t="shared" si="36"/>
        <v>17890.335506307103</v>
      </c>
      <c r="ER6" s="657">
        <f t="shared" si="37"/>
        <v>1.8854448315514111E-3</v>
      </c>
      <c r="ES6" s="646">
        <f t="shared" si="38"/>
        <v>1902.8536571283662</v>
      </c>
      <c r="ET6" s="657">
        <f t="shared" si="39"/>
        <v>1.3558773867085932E-3</v>
      </c>
      <c r="EU6" s="646">
        <f t="shared" si="40"/>
        <v>5792.7161524176472</v>
      </c>
      <c r="EV6" s="646">
        <f t="shared" si="41"/>
        <v>25585.905315853117</v>
      </c>
      <c r="EW6" s="657">
        <f t="shared" si="42"/>
        <v>1.9531222033025053E-3</v>
      </c>
      <c r="EX6" s="709">
        <f t="shared" si="43"/>
        <v>0.86461299999999996</v>
      </c>
      <c r="FB6" s="562">
        <v>3</v>
      </c>
      <c r="FC6" s="563" t="s">
        <v>388</v>
      </c>
      <c r="FD6" s="564">
        <f>SUM(FD4:FD5)</f>
        <v>19625714.945159689</v>
      </c>
      <c r="FH6" s="545">
        <f t="shared" ref="FH6:FH27" si="121">+FH5+1</f>
        <v>3</v>
      </c>
      <c r="FI6" s="669">
        <f t="shared" si="44"/>
        <v>3</v>
      </c>
      <c r="FJ6" s="655" t="s">
        <v>389</v>
      </c>
      <c r="FK6" s="657">
        <f t="shared" si="45"/>
        <v>2.2882149309542362E-3</v>
      </c>
      <c r="FL6" s="646">
        <f t="shared" si="46"/>
        <v>44907.853968166099</v>
      </c>
      <c r="FM6" s="709">
        <f t="shared" si="47"/>
        <v>1.51755</v>
      </c>
      <c r="FQ6" s="543">
        <v>3</v>
      </c>
      <c r="FR6" s="669">
        <v>3</v>
      </c>
      <c r="FS6" s="655" t="s">
        <v>389</v>
      </c>
      <c r="FT6" s="646">
        <f t="shared" si="48"/>
        <v>115316.66977525195</v>
      </c>
      <c r="FU6" s="646">
        <f t="shared" si="49"/>
        <v>39418.862293901744</v>
      </c>
      <c r="FV6" s="646">
        <f t="shared" si="50"/>
        <v>47275.109614283298</v>
      </c>
      <c r="FW6" s="646">
        <f t="shared" si="86"/>
        <v>10533.444904880207</v>
      </c>
      <c r="FX6" s="646">
        <f t="shared" si="51"/>
        <v>8208.97777763882</v>
      </c>
      <c r="FY6" s="646">
        <f t="shared" si="52"/>
        <v>25585.905315853117</v>
      </c>
      <c r="FZ6" s="646">
        <f t="shared" si="53"/>
        <v>44907.853968166099</v>
      </c>
      <c r="GA6" s="646">
        <f t="shared" si="54"/>
        <v>291246.82364997524</v>
      </c>
      <c r="GB6" s="746">
        <f t="shared" si="55"/>
        <v>9.8419699999999999</v>
      </c>
      <c r="GF6" s="545">
        <f t="shared" si="87"/>
        <v>3</v>
      </c>
      <c r="GG6" s="669">
        <f t="shared" si="56"/>
        <v>3</v>
      </c>
      <c r="GH6" s="655" t="s">
        <v>389</v>
      </c>
      <c r="GI6" s="709">
        <f t="shared" si="57"/>
        <v>3.8968430000000001</v>
      </c>
      <c r="GJ6" s="709">
        <f t="shared" si="58"/>
        <v>1.332063</v>
      </c>
      <c r="GK6" s="709">
        <f t="shared" si="59"/>
        <v>1.5975459999999999</v>
      </c>
      <c r="GL6" s="709">
        <f t="shared" si="60"/>
        <v>0.35595199999999999</v>
      </c>
      <c r="GM6" s="709">
        <f t="shared" si="61"/>
        <v>0.27740199999999998</v>
      </c>
      <c r="GN6" s="709">
        <f t="shared" si="62"/>
        <v>0.86461299999999996</v>
      </c>
      <c r="GO6" s="709">
        <f t="shared" si="63"/>
        <v>1.51755</v>
      </c>
      <c r="GP6" s="709">
        <f t="shared" si="64"/>
        <v>9.8419699999999999</v>
      </c>
      <c r="GQ6" s="656">
        <f t="shared" si="88"/>
        <v>2959233</v>
      </c>
      <c r="GR6" s="530"/>
      <c r="GU6" s="543">
        <f t="shared" si="89"/>
        <v>3</v>
      </c>
      <c r="GV6" s="669">
        <f t="shared" si="65"/>
        <v>3</v>
      </c>
      <c r="GW6" s="655" t="s">
        <v>389</v>
      </c>
      <c r="GX6" s="658" t="s">
        <v>379</v>
      </c>
      <c r="GY6" s="646">
        <f t="shared" si="90"/>
        <v>291246.82364997524</v>
      </c>
      <c r="GZ6" s="656">
        <f t="shared" si="66"/>
        <v>2959233</v>
      </c>
      <c r="HA6" s="709">
        <f t="shared" si="91"/>
        <v>9.8419699999999999</v>
      </c>
      <c r="HB6" s="646">
        <f t="shared" si="67"/>
        <v>291246.82409010001</v>
      </c>
      <c r="HC6" s="749">
        <f t="shared" si="68"/>
        <v>4.4012477155774832E-4</v>
      </c>
      <c r="HD6" s="565"/>
      <c r="HG6" s="562">
        <v>3</v>
      </c>
      <c r="HH6" s="566" t="s">
        <v>88</v>
      </c>
      <c r="HI6" s="567">
        <f>SUM(HI4:HI5)</f>
        <v>129199637.30104965</v>
      </c>
      <c r="HJ6" s="568">
        <f>SUM(HJ4:HJ5)</f>
        <v>1</v>
      </c>
      <c r="HK6" s="567">
        <f>SUM(HK4:HK5)</f>
        <v>129199641.54427999</v>
      </c>
      <c r="HL6" s="569">
        <f>SUM(HL4:HL5)</f>
        <v>4.2432303307389247</v>
      </c>
      <c r="HM6" s="565"/>
      <c r="HP6" s="545">
        <f t="shared" ref="HP6:HP27" si="122">+HP5+1</f>
        <v>3</v>
      </c>
      <c r="HQ6" s="761">
        <f t="shared" si="69"/>
        <v>3</v>
      </c>
      <c r="HR6" s="655" t="s">
        <v>389</v>
      </c>
      <c r="HS6" s="656">
        <f t="shared" si="92"/>
        <v>2959233</v>
      </c>
      <c r="HT6" s="756">
        <f t="shared" si="93"/>
        <v>9.8419699999999999</v>
      </c>
      <c r="HU6" s="756">
        <v>8.6401970000000006</v>
      </c>
      <c r="HV6" s="647">
        <f>IF(HU6&lt;&gt;0,HT6/HU6-1,"")</f>
        <v>0.13909092582032545</v>
      </c>
      <c r="HW6" s="756">
        <f t="shared" si="95"/>
        <v>1.2017729999999993</v>
      </c>
      <c r="HX6" s="648">
        <v>10</v>
      </c>
      <c r="IO6" s="545">
        <v>3</v>
      </c>
      <c r="IP6" s="761">
        <v>3</v>
      </c>
      <c r="IQ6" s="655" t="s">
        <v>389</v>
      </c>
      <c r="IR6" s="769">
        <f t="shared" si="96"/>
        <v>291246.82364997524</v>
      </c>
      <c r="IS6" s="770">
        <f t="shared" si="96"/>
        <v>2959233</v>
      </c>
      <c r="IT6" s="771">
        <f t="shared" si="96"/>
        <v>9.8419699999999999</v>
      </c>
      <c r="IU6" s="656">
        <f t="shared" si="97"/>
        <v>435542.94499484834</v>
      </c>
      <c r="IV6" s="656">
        <f t="shared" si="98"/>
        <v>2523690.0550051518</v>
      </c>
      <c r="IW6" s="769">
        <f t="shared" ref="IW6:IW27" si="123">IU6*$IH$4</f>
        <v>6533.1441749227251</v>
      </c>
      <c r="IX6" s="769">
        <f t="shared" si="99"/>
        <v>284713.67947505252</v>
      </c>
      <c r="IY6" s="550">
        <f t="shared" si="100"/>
        <v>9.6211984482145372</v>
      </c>
      <c r="IZ6" s="550">
        <f t="shared" si="101"/>
        <v>11.121198448214537</v>
      </c>
      <c r="JA6" s="769">
        <f t="shared" si="102"/>
        <v>291246.82364997524</v>
      </c>
      <c r="JB6" s="746">
        <f t="shared" si="103"/>
        <v>0.22077155178546271</v>
      </c>
      <c r="JF6" s="545">
        <f t="shared" ref="JF6:JF27" si="124">+JF5+1</f>
        <v>3</v>
      </c>
      <c r="JG6" s="761">
        <f t="shared" si="70"/>
        <v>3</v>
      </c>
      <c r="JH6" s="655" t="s">
        <v>389</v>
      </c>
      <c r="JI6" s="656">
        <f t="shared" si="104"/>
        <v>2959233</v>
      </c>
      <c r="JJ6" s="756">
        <f t="shared" si="105"/>
        <v>9.6211984482145372</v>
      </c>
      <c r="JK6" s="756">
        <v>8.4179636538958409</v>
      </c>
      <c r="JL6" s="647">
        <f>IF(JK6&lt;&gt;0,JJ6/JK6-1,"")</f>
        <v>0.14293656325800819</v>
      </c>
      <c r="JM6" s="756">
        <f t="shared" si="107"/>
        <v>1.2032347943186963</v>
      </c>
      <c r="JN6" s="648">
        <v>10</v>
      </c>
      <c r="JS6" s="756">
        <v>9.6211984482145372</v>
      </c>
      <c r="JT6" s="756">
        <f t="shared" si="108"/>
        <v>0</v>
      </c>
      <c r="JU6" s="1009">
        <v>2959233</v>
      </c>
      <c r="JV6" s="1009">
        <f t="shared" si="109"/>
        <v>0</v>
      </c>
      <c r="JW6" s="1069">
        <f t="shared" si="110"/>
        <v>0</v>
      </c>
      <c r="JX6" s="997">
        <v>284713.67947505252</v>
      </c>
      <c r="JY6" s="997">
        <f t="shared" si="111"/>
        <v>284713.67947505252</v>
      </c>
      <c r="JZ6" s="516"/>
      <c r="KA6" s="516" t="s">
        <v>444</v>
      </c>
      <c r="KB6" s="1070">
        <f>SUM(KB4:KB5)</f>
        <v>0</v>
      </c>
      <c r="KC6" s="516"/>
      <c r="KE6" s="516"/>
      <c r="KF6" s="516"/>
    </row>
    <row r="7" spans="1:292" ht="17.25" thickBot="1" x14ac:dyDescent="0.35">
      <c r="A7" s="222">
        <v>4</v>
      </c>
      <c r="B7" s="653" t="s">
        <v>49</v>
      </c>
      <c r="C7" s="650">
        <f>'Actuals Phase I Schedules'!MC17</f>
        <v>25073716.728897151</v>
      </c>
      <c r="D7" s="651">
        <f t="shared" si="0"/>
        <v>0.19412451832533151</v>
      </c>
      <c r="E7" s="986">
        <v>1.1422480863023685</v>
      </c>
      <c r="I7" s="222">
        <f t="shared" si="112"/>
        <v>4</v>
      </c>
      <c r="J7" s="659">
        <f t="shared" si="1"/>
        <v>4</v>
      </c>
      <c r="K7" s="660" t="s">
        <v>392</v>
      </c>
      <c r="L7" s="991">
        <v>360281</v>
      </c>
      <c r="M7" s="662">
        <f t="shared" si="2"/>
        <v>1.6507549786068168E-4</v>
      </c>
      <c r="N7" s="661">
        <v>172</v>
      </c>
      <c r="O7" s="661">
        <f t="shared" si="71"/>
        <v>2094.6569767441861</v>
      </c>
      <c r="P7" s="662">
        <f t="shared" si="3"/>
        <v>1.1823500610656701E-3</v>
      </c>
      <c r="Q7" s="663" t="s">
        <v>379</v>
      </c>
      <c r="U7" s="551">
        <f t="shared" si="113"/>
        <v>4</v>
      </c>
      <c r="V7" s="670">
        <f t="shared" si="4"/>
        <v>4</v>
      </c>
      <c r="W7" s="660" t="s">
        <v>392</v>
      </c>
      <c r="X7" s="671">
        <f t="shared" si="72"/>
        <v>58945.556586129249</v>
      </c>
      <c r="Y7" s="662">
        <f t="shared" si="5"/>
        <v>6.1099991105985124E-4</v>
      </c>
      <c r="AC7" s="551">
        <f t="shared" si="114"/>
        <v>4</v>
      </c>
      <c r="AD7" s="681">
        <v>4</v>
      </c>
      <c r="AE7" s="682" t="s">
        <v>392</v>
      </c>
      <c r="AF7" s="683">
        <v>9.15</v>
      </c>
      <c r="AJ7" s="570">
        <f t="shared" si="73"/>
        <v>4</v>
      </c>
      <c r="AK7" s="571" t="s">
        <v>390</v>
      </c>
      <c r="AL7" s="692">
        <f>AU28*3600/AT28</f>
        <v>3.0945712768850906</v>
      </c>
      <c r="AP7" s="551">
        <f t="shared" si="74"/>
        <v>4</v>
      </c>
      <c r="AQ7" s="697">
        <f t="shared" si="6"/>
        <v>4</v>
      </c>
      <c r="AR7" s="660" t="s">
        <v>392</v>
      </c>
      <c r="AS7" s="660">
        <f t="shared" si="7"/>
        <v>9.15</v>
      </c>
      <c r="AT7" s="698">
        <f t="shared" si="75"/>
        <v>360281</v>
      </c>
      <c r="AU7" s="698">
        <f t="shared" si="115"/>
        <v>915.71420833333332</v>
      </c>
      <c r="AV7" s="699">
        <f t="shared" si="8"/>
        <v>945.84861327997248</v>
      </c>
      <c r="AW7" s="700">
        <f t="shared" si="9"/>
        <v>21.592508896755891</v>
      </c>
      <c r="AX7" s="671">
        <f t="shared" ref="AX7:AX27" si="125">AV7*AW7</f>
        <v>20423.244597232027</v>
      </c>
      <c r="AY7" s="465">
        <f t="shared" si="76"/>
        <v>4.8809371970439958E-4</v>
      </c>
      <c r="AZ7" s="553">
        <f t="shared" si="10"/>
        <v>5.6686990000000002</v>
      </c>
      <c r="BK7" s="222">
        <f t="shared" si="116"/>
        <v>4</v>
      </c>
      <c r="BL7" s="663">
        <f t="shared" si="11"/>
        <v>4</v>
      </c>
      <c r="BM7" s="660" t="s">
        <v>392</v>
      </c>
      <c r="BN7" s="662">
        <f t="shared" si="77"/>
        <v>4.8809371970439958E-4</v>
      </c>
      <c r="BO7" s="671">
        <f t="shared" si="78"/>
        <v>4679.2143533052367</v>
      </c>
      <c r="BP7" s="662">
        <f t="shared" si="79"/>
        <v>1.6507549786068168E-4</v>
      </c>
      <c r="BQ7" s="671">
        <f t="shared" si="80"/>
        <v>1582.5314028553912</v>
      </c>
      <c r="BR7" s="710">
        <f t="shared" si="12"/>
        <v>6261.7457561606279</v>
      </c>
      <c r="BS7" s="711">
        <f t="shared" si="13"/>
        <v>1.7380169999999999</v>
      </c>
      <c r="BW7" s="222">
        <f>+BW6+1</f>
        <v>4</v>
      </c>
      <c r="BX7" s="660" t="s">
        <v>391</v>
      </c>
      <c r="BY7" s="716">
        <v>0.27421214545215511</v>
      </c>
      <c r="BZ7" s="717">
        <f>BY7*$BZ$9</f>
        <v>6875517.6586904805</v>
      </c>
      <c r="CA7" s="718"/>
      <c r="CB7" s="718">
        <v>1</v>
      </c>
      <c r="CC7" s="717">
        <f t="shared" si="14"/>
        <v>0</v>
      </c>
      <c r="CD7" s="717">
        <f t="shared" si="14"/>
        <v>6875517.6586904805</v>
      </c>
      <c r="CH7" s="222">
        <f t="shared" si="117"/>
        <v>4</v>
      </c>
      <c r="CI7" s="681">
        <f t="shared" si="15"/>
        <v>4</v>
      </c>
      <c r="CJ7" s="660" t="s">
        <v>392</v>
      </c>
      <c r="CK7" s="723">
        <f t="shared" si="16"/>
        <v>1.6507549786068168E-4</v>
      </c>
      <c r="CL7" s="650">
        <f t="shared" si="17"/>
        <v>967.62944692330666</v>
      </c>
      <c r="CM7" s="723">
        <f t="shared" si="18"/>
        <v>1.1823500610656701E-3</v>
      </c>
      <c r="CN7" s="650">
        <f t="shared" si="19"/>
        <v>22715.283304755663</v>
      </c>
      <c r="CO7" s="650">
        <f t="shared" si="20"/>
        <v>23682.91275167897</v>
      </c>
      <c r="CP7" s="723">
        <f t="shared" si="21"/>
        <v>9.4453139946279669E-4</v>
      </c>
      <c r="CQ7" s="724">
        <f t="shared" si="22"/>
        <v>6.5734560000000002</v>
      </c>
      <c r="CU7" s="274">
        <v>4</v>
      </c>
      <c r="CV7" s="572" t="s">
        <v>71</v>
      </c>
      <c r="CW7" s="430"/>
      <c r="CX7" s="430"/>
      <c r="CY7" s="573"/>
      <c r="CZ7" s="277">
        <f>SUM(CZ4:CZ6)</f>
        <v>376694.73457649816</v>
      </c>
      <c r="DA7" s="277">
        <f>SUM(DA4:DA6)</f>
        <v>2448135.5093462113</v>
      </c>
      <c r="DB7" s="277">
        <f>SUM(DB4:DB6)</f>
        <v>3548864.0135629829</v>
      </c>
      <c r="DC7" s="1071">
        <f>SUM(DC4:DC6)</f>
        <v>6373694.2574856924</v>
      </c>
      <c r="DG7" s="551">
        <f t="shared" si="118"/>
        <v>4</v>
      </c>
      <c r="DH7" s="677">
        <f t="shared" si="23"/>
        <v>4</v>
      </c>
      <c r="DI7" s="660" t="s">
        <v>392</v>
      </c>
      <c r="DJ7" s="723">
        <f t="shared" si="24"/>
        <v>9.4453139946279669E-4</v>
      </c>
      <c r="DK7" s="650">
        <f t="shared" si="82"/>
        <v>355.80000481980653</v>
      </c>
      <c r="DL7" s="723">
        <f t="shared" si="25"/>
        <v>1.1823500610656701E-3</v>
      </c>
      <c r="DM7" s="650">
        <f t="shared" si="26"/>
        <v>2894.5531689725285</v>
      </c>
      <c r="DN7" s="723">
        <f t="shared" si="27"/>
        <v>1.6507549786068168E-4</v>
      </c>
      <c r="DO7" s="650">
        <f t="shared" si="83"/>
        <v>585.83049387876633</v>
      </c>
      <c r="DP7" s="650">
        <f t="shared" si="84"/>
        <v>3836.1836676711014</v>
      </c>
      <c r="DQ7" s="723">
        <f t="shared" si="28"/>
        <v>6.0187757879437529E-4</v>
      </c>
      <c r="DR7" s="724">
        <f t="shared" si="29"/>
        <v>1.064775</v>
      </c>
      <c r="DV7" s="551">
        <f t="shared" si="119"/>
        <v>4</v>
      </c>
      <c r="DW7" s="677">
        <f t="shared" si="30"/>
        <v>4</v>
      </c>
      <c r="DX7" s="660" t="s">
        <v>392</v>
      </c>
      <c r="DY7" s="723">
        <f t="shared" si="31"/>
        <v>1.1823500610656701E-3</v>
      </c>
      <c r="DZ7" s="650">
        <f t="shared" si="32"/>
        <v>4741.4698133865149</v>
      </c>
      <c r="EA7" s="724">
        <f t="shared" si="33"/>
        <v>1.3160480000000001</v>
      </c>
      <c r="EE7" s="574">
        <v>4</v>
      </c>
      <c r="EF7" s="369" t="s">
        <v>71</v>
      </c>
      <c r="EG7" s="277">
        <f>SUM(EG4:EG6)</f>
        <v>12035251.726130454</v>
      </c>
      <c r="EH7" s="575">
        <f>EG7/$EG$7</f>
        <v>1</v>
      </c>
      <c r="EI7" s="277">
        <f>C10</f>
        <v>13100002.279729499</v>
      </c>
      <c r="EM7" s="551">
        <f t="shared" si="120"/>
        <v>4</v>
      </c>
      <c r="EN7" s="677">
        <f t="shared" si="34"/>
        <v>4</v>
      </c>
      <c r="EO7" s="660" t="s">
        <v>392</v>
      </c>
      <c r="EP7" s="723">
        <f t="shared" si="35"/>
        <v>6.1099991105985124E-4</v>
      </c>
      <c r="EQ7" s="650">
        <f t="shared" si="36"/>
        <v>4777.0833304658463</v>
      </c>
      <c r="ER7" s="723">
        <f t="shared" si="37"/>
        <v>9.4453139946279669E-4</v>
      </c>
      <c r="ES7" s="650">
        <f t="shared" si="38"/>
        <v>953.25251509028237</v>
      </c>
      <c r="ET7" s="723">
        <f t="shared" si="39"/>
        <v>1.6507549786068168E-4</v>
      </c>
      <c r="EU7" s="650">
        <f t="shared" si="40"/>
        <v>705.25219477789756</v>
      </c>
      <c r="EV7" s="650">
        <f t="shared" si="41"/>
        <v>6435.5880403340261</v>
      </c>
      <c r="EW7" s="723">
        <f t="shared" si="42"/>
        <v>4.9126617712824672E-4</v>
      </c>
      <c r="EX7" s="724">
        <f t="shared" si="43"/>
        <v>1.7862690000000001</v>
      </c>
      <c r="FD7" s="5"/>
      <c r="FH7" s="551">
        <f t="shared" si="121"/>
        <v>4</v>
      </c>
      <c r="FI7" s="670">
        <f t="shared" si="44"/>
        <v>4</v>
      </c>
      <c r="FJ7" s="660" t="s">
        <v>392</v>
      </c>
      <c r="FK7" s="723">
        <f t="shared" si="45"/>
        <v>6.1099991105985124E-4</v>
      </c>
      <c r="FL7" s="650">
        <f t="shared" si="46"/>
        <v>11991.310085978563</v>
      </c>
      <c r="FM7" s="724">
        <f t="shared" si="47"/>
        <v>3.328322</v>
      </c>
      <c r="FQ7" s="222">
        <v>4</v>
      </c>
      <c r="FR7" s="670">
        <v>4</v>
      </c>
      <c r="FS7" s="660" t="s">
        <v>392</v>
      </c>
      <c r="FT7" s="650">
        <f t="shared" si="48"/>
        <v>20423.244597232027</v>
      </c>
      <c r="FU7" s="650">
        <f t="shared" si="49"/>
        <v>6261.7457561606279</v>
      </c>
      <c r="FV7" s="650">
        <f t="shared" si="50"/>
        <v>23682.91275167897</v>
      </c>
      <c r="FW7" s="650">
        <f t="shared" si="86"/>
        <v>3836.1836676711014</v>
      </c>
      <c r="FX7" s="650">
        <f t="shared" si="51"/>
        <v>4741.4698133865149</v>
      </c>
      <c r="FY7" s="650">
        <f t="shared" si="52"/>
        <v>6435.5880403340261</v>
      </c>
      <c r="FZ7" s="650">
        <f t="shared" si="53"/>
        <v>11991.310085978563</v>
      </c>
      <c r="GA7" s="650">
        <f t="shared" si="54"/>
        <v>77372.454712441831</v>
      </c>
      <c r="GB7" s="747">
        <f t="shared" si="55"/>
        <v>21.475586</v>
      </c>
      <c r="GF7" s="551">
        <f t="shared" si="87"/>
        <v>4</v>
      </c>
      <c r="GG7" s="670">
        <f t="shared" si="56"/>
        <v>4</v>
      </c>
      <c r="GH7" s="660" t="s">
        <v>392</v>
      </c>
      <c r="GI7" s="724">
        <f t="shared" si="57"/>
        <v>5.6686990000000002</v>
      </c>
      <c r="GJ7" s="724">
        <f t="shared" si="58"/>
        <v>1.7380169999999999</v>
      </c>
      <c r="GK7" s="724">
        <f t="shared" si="59"/>
        <v>6.5734560000000002</v>
      </c>
      <c r="GL7" s="724">
        <f t="shared" si="60"/>
        <v>1.064775</v>
      </c>
      <c r="GM7" s="724">
        <f t="shared" si="61"/>
        <v>1.3160480000000001</v>
      </c>
      <c r="GN7" s="724">
        <f t="shared" si="62"/>
        <v>1.7862690000000001</v>
      </c>
      <c r="GO7" s="724">
        <f t="shared" si="63"/>
        <v>3.328322</v>
      </c>
      <c r="GP7" s="724">
        <f t="shared" si="64"/>
        <v>21.475586</v>
      </c>
      <c r="GQ7" s="661">
        <f t="shared" si="88"/>
        <v>360281</v>
      </c>
      <c r="GR7" s="530"/>
      <c r="GU7" s="222">
        <f t="shared" si="89"/>
        <v>4</v>
      </c>
      <c r="GV7" s="670">
        <f t="shared" si="65"/>
        <v>4</v>
      </c>
      <c r="GW7" s="660" t="s">
        <v>392</v>
      </c>
      <c r="GX7" s="663" t="s">
        <v>379</v>
      </c>
      <c r="GY7" s="671">
        <f t="shared" si="90"/>
        <v>77372.454712441831</v>
      </c>
      <c r="GZ7" s="661">
        <f t="shared" si="66"/>
        <v>360281</v>
      </c>
      <c r="HA7" s="724">
        <f t="shared" si="91"/>
        <v>21.475586</v>
      </c>
      <c r="HB7" s="650">
        <f t="shared" si="67"/>
        <v>77372.455996660006</v>
      </c>
      <c r="HC7" s="750">
        <f t="shared" si="68"/>
        <v>1.2842181749874726E-3</v>
      </c>
      <c r="HD7" s="549"/>
      <c r="HG7" s="549"/>
      <c r="HH7" s="549"/>
      <c r="HI7" s="549"/>
      <c r="HJ7" s="549"/>
      <c r="HK7" s="549"/>
      <c r="HL7" s="549"/>
      <c r="HM7" s="549"/>
      <c r="HP7" s="551">
        <f t="shared" si="122"/>
        <v>4</v>
      </c>
      <c r="HQ7" s="762">
        <f t="shared" si="69"/>
        <v>4</v>
      </c>
      <c r="HR7" s="660" t="s">
        <v>392</v>
      </c>
      <c r="HS7" s="661">
        <f t="shared" si="92"/>
        <v>360281</v>
      </c>
      <c r="HT7" s="757">
        <f t="shared" si="93"/>
        <v>21.475586</v>
      </c>
      <c r="HU7" s="757">
        <v>18.985862000000001</v>
      </c>
      <c r="HV7" s="651">
        <f t="shared" si="94"/>
        <v>0.13113568401582176</v>
      </c>
      <c r="HW7" s="757">
        <f t="shared" si="95"/>
        <v>2.4897239999999989</v>
      </c>
      <c r="HX7" s="652">
        <v>25</v>
      </c>
      <c r="IO7" s="551">
        <v>4</v>
      </c>
      <c r="IP7" s="762">
        <v>4</v>
      </c>
      <c r="IQ7" s="660" t="s">
        <v>392</v>
      </c>
      <c r="IR7" s="772">
        <f t="shared" si="96"/>
        <v>77372.454712441831</v>
      </c>
      <c r="IS7" s="773">
        <f t="shared" si="96"/>
        <v>360281</v>
      </c>
      <c r="IT7" s="774">
        <f t="shared" si="96"/>
        <v>21.475586</v>
      </c>
      <c r="IU7" s="661">
        <f t="shared" si="97"/>
        <v>53026.526726921795</v>
      </c>
      <c r="IV7" s="661">
        <f t="shared" si="98"/>
        <v>307254.47327307821</v>
      </c>
      <c r="IW7" s="772">
        <f t="shared" si="123"/>
        <v>795.39790090382689</v>
      </c>
      <c r="IX7" s="772">
        <f t="shared" si="99"/>
        <v>76577.056811538001</v>
      </c>
      <c r="IY7" s="455">
        <f t="shared" si="100"/>
        <v>21.254814106638431</v>
      </c>
      <c r="IZ7" s="555">
        <f t="shared" si="101"/>
        <v>22.754814106638431</v>
      </c>
      <c r="JA7" s="772">
        <f t="shared" si="102"/>
        <v>77372.454712441846</v>
      </c>
      <c r="JB7" s="778">
        <f t="shared" si="103"/>
        <v>0.22077189336156877</v>
      </c>
      <c r="JF7" s="551">
        <f t="shared" si="124"/>
        <v>4</v>
      </c>
      <c r="JG7" s="762">
        <f t="shared" si="70"/>
        <v>4</v>
      </c>
      <c r="JH7" s="660" t="s">
        <v>392</v>
      </c>
      <c r="JI7" s="661">
        <f t="shared" si="104"/>
        <v>360281</v>
      </c>
      <c r="JJ7" s="757">
        <f t="shared" si="105"/>
        <v>21.254814106638431</v>
      </c>
      <c r="JK7" s="757">
        <v>18.76362854838003</v>
      </c>
      <c r="JL7" s="651">
        <f t="shared" ref="JL7:JL27" si="126">IF(JK7&lt;&gt;0,JJ7/JK7-1,"")</f>
        <v>0.13276672749277374</v>
      </c>
      <c r="JM7" s="757">
        <f t="shared" si="107"/>
        <v>2.491185558258401</v>
      </c>
      <c r="JN7" s="652">
        <v>25</v>
      </c>
      <c r="JS7" s="757">
        <v>21.254814106638431</v>
      </c>
      <c r="JT7" s="757">
        <f t="shared" si="108"/>
        <v>0</v>
      </c>
      <c r="JU7" s="1010">
        <v>360281</v>
      </c>
      <c r="JV7" s="1010">
        <f t="shared" si="109"/>
        <v>0</v>
      </c>
      <c r="JW7" s="1069">
        <f t="shared" si="110"/>
        <v>0</v>
      </c>
      <c r="JX7" s="997">
        <v>76577.056811538001</v>
      </c>
      <c r="JY7" s="997">
        <f t="shared" si="111"/>
        <v>76577.056811538001</v>
      </c>
      <c r="JZ7" s="516"/>
      <c r="KA7" s="516"/>
      <c r="KB7" s="516"/>
      <c r="KC7" s="516"/>
      <c r="KE7" s="516"/>
      <c r="KF7" s="516"/>
    </row>
    <row r="8" spans="1:292" ht="16.5" x14ac:dyDescent="0.3">
      <c r="A8" s="543">
        <v>5</v>
      </c>
      <c r="B8" s="645" t="s">
        <v>52</v>
      </c>
      <c r="C8" s="646">
        <f>'Actuals Phase I Schedules'!MC18</f>
        <v>6337116.5493326727</v>
      </c>
      <c r="D8" s="647">
        <f t="shared" si="0"/>
        <v>4.9062917596612771E-2</v>
      </c>
      <c r="E8" s="986">
        <v>0.29035743471963715</v>
      </c>
      <c r="I8" s="543">
        <f t="shared" si="112"/>
        <v>5</v>
      </c>
      <c r="J8" s="654">
        <f t="shared" si="1"/>
        <v>5</v>
      </c>
      <c r="K8" s="655" t="s">
        <v>394</v>
      </c>
      <c r="L8" s="991">
        <v>0</v>
      </c>
      <c r="M8" s="657">
        <f t="shared" si="2"/>
        <v>0</v>
      </c>
      <c r="N8" s="656">
        <v>10</v>
      </c>
      <c r="O8" s="656">
        <f t="shared" si="71"/>
        <v>0</v>
      </c>
      <c r="P8" s="657">
        <f t="shared" si="3"/>
        <v>0</v>
      </c>
      <c r="Q8" s="658" t="s">
        <v>384</v>
      </c>
      <c r="U8" s="545">
        <f t="shared" si="113"/>
        <v>5</v>
      </c>
      <c r="V8" s="669">
        <f t="shared" si="4"/>
        <v>5</v>
      </c>
      <c r="W8" s="655" t="s">
        <v>394</v>
      </c>
      <c r="X8" s="646">
        <f t="shared" si="72"/>
        <v>0</v>
      </c>
      <c r="Y8" s="657">
        <f t="shared" si="5"/>
        <v>0</v>
      </c>
      <c r="AC8" s="545">
        <f t="shared" si="114"/>
        <v>5</v>
      </c>
      <c r="AD8" s="678">
        <v>5</v>
      </c>
      <c r="AE8" s="679" t="s">
        <v>394</v>
      </c>
      <c r="AF8" s="680">
        <v>73.19</v>
      </c>
      <c r="AJ8" s="501"/>
      <c r="AP8" s="545">
        <f t="shared" si="74"/>
        <v>5</v>
      </c>
      <c r="AQ8" s="693">
        <f t="shared" si="6"/>
        <v>5</v>
      </c>
      <c r="AR8" s="655" t="s">
        <v>394</v>
      </c>
      <c r="AS8" s="655">
        <f t="shared" si="7"/>
        <v>73.19</v>
      </c>
      <c r="AT8" s="694">
        <f t="shared" si="75"/>
        <v>0</v>
      </c>
      <c r="AU8" s="694">
        <f t="shared" si="115"/>
        <v>0</v>
      </c>
      <c r="AV8" s="695">
        <f t="shared" si="8"/>
        <v>0</v>
      </c>
      <c r="AW8" s="696">
        <f t="shared" si="9"/>
        <v>21.592508896755891</v>
      </c>
      <c r="AX8" s="646">
        <f t="shared" si="125"/>
        <v>0</v>
      </c>
      <c r="AY8" s="544">
        <f t="shared" si="76"/>
        <v>0</v>
      </c>
      <c r="AZ8" s="548">
        <f t="shared" si="10"/>
        <v>0</v>
      </c>
      <c r="BK8" s="543">
        <f t="shared" si="116"/>
        <v>5</v>
      </c>
      <c r="BL8" s="658">
        <f t="shared" si="11"/>
        <v>5</v>
      </c>
      <c r="BM8" s="655" t="s">
        <v>394</v>
      </c>
      <c r="BN8" s="657">
        <f t="shared" si="77"/>
        <v>0</v>
      </c>
      <c r="BO8" s="646">
        <f t="shared" si="78"/>
        <v>0</v>
      </c>
      <c r="BP8" s="657">
        <f t="shared" si="79"/>
        <v>0</v>
      </c>
      <c r="BQ8" s="646">
        <f t="shared" si="80"/>
        <v>0</v>
      </c>
      <c r="BR8" s="708">
        <f t="shared" si="12"/>
        <v>0</v>
      </c>
      <c r="BS8" s="709">
        <f t="shared" si="13"/>
        <v>0</v>
      </c>
      <c r="BW8" s="561">
        <f>+BW7+1</f>
        <v>5</v>
      </c>
      <c r="BX8" s="719" t="s">
        <v>393</v>
      </c>
      <c r="BY8" s="720">
        <v>0.37381287569302735</v>
      </c>
      <c r="BZ8" s="721">
        <f>BY8*$BZ$9</f>
        <v>9372878.1547414102</v>
      </c>
      <c r="CA8" s="722"/>
      <c r="CB8" s="722">
        <v>1</v>
      </c>
      <c r="CC8" s="721">
        <f t="shared" si="14"/>
        <v>0</v>
      </c>
      <c r="CD8" s="721">
        <f t="shared" si="14"/>
        <v>9372878.1547414102</v>
      </c>
      <c r="CH8" s="543">
        <f t="shared" si="117"/>
        <v>5</v>
      </c>
      <c r="CI8" s="678">
        <f t="shared" si="15"/>
        <v>5</v>
      </c>
      <c r="CJ8" s="655" t="s">
        <v>394</v>
      </c>
      <c r="CK8" s="657">
        <f t="shared" si="16"/>
        <v>0</v>
      </c>
      <c r="CL8" s="646">
        <f t="shared" si="17"/>
        <v>0</v>
      </c>
      <c r="CM8" s="657">
        <f t="shared" si="18"/>
        <v>0</v>
      </c>
      <c r="CN8" s="646">
        <f t="shared" si="19"/>
        <v>0</v>
      </c>
      <c r="CO8" s="646">
        <f t="shared" si="20"/>
        <v>0</v>
      </c>
      <c r="CP8" s="657">
        <f t="shared" si="21"/>
        <v>0</v>
      </c>
      <c r="CQ8" s="709">
        <f t="shared" si="22"/>
        <v>0</v>
      </c>
      <c r="CW8" s="232"/>
      <c r="CX8" s="232"/>
      <c r="CY8" s="232"/>
      <c r="CZ8" s="232"/>
      <c r="DA8" s="232"/>
      <c r="DB8" s="232"/>
      <c r="DC8" s="232"/>
      <c r="DG8" s="545">
        <f t="shared" si="118"/>
        <v>5</v>
      </c>
      <c r="DH8" s="739">
        <f t="shared" si="23"/>
        <v>5</v>
      </c>
      <c r="DI8" s="655" t="s">
        <v>394</v>
      </c>
      <c r="DJ8" s="657">
        <f t="shared" si="24"/>
        <v>0</v>
      </c>
      <c r="DK8" s="646">
        <f t="shared" si="82"/>
        <v>0</v>
      </c>
      <c r="DL8" s="657">
        <f t="shared" si="25"/>
        <v>0</v>
      </c>
      <c r="DM8" s="646">
        <f t="shared" si="26"/>
        <v>0</v>
      </c>
      <c r="DN8" s="657">
        <f t="shared" si="27"/>
        <v>0</v>
      </c>
      <c r="DO8" s="646">
        <f t="shared" si="83"/>
        <v>0</v>
      </c>
      <c r="DP8" s="646">
        <f t="shared" si="84"/>
        <v>0</v>
      </c>
      <c r="DQ8" s="657">
        <f t="shared" si="28"/>
        <v>0</v>
      </c>
      <c r="DR8" s="709">
        <f t="shared" si="29"/>
        <v>0</v>
      </c>
      <c r="DV8" s="545">
        <f t="shared" si="119"/>
        <v>5</v>
      </c>
      <c r="DW8" s="739">
        <f t="shared" si="30"/>
        <v>5</v>
      </c>
      <c r="DX8" s="655" t="s">
        <v>394</v>
      </c>
      <c r="DY8" s="657">
        <f t="shared" si="31"/>
        <v>0</v>
      </c>
      <c r="DZ8" s="646">
        <f t="shared" si="32"/>
        <v>0</v>
      </c>
      <c r="EA8" s="709">
        <f t="shared" si="33"/>
        <v>0</v>
      </c>
      <c r="EM8" s="545">
        <f t="shared" si="120"/>
        <v>5</v>
      </c>
      <c r="EN8" s="739">
        <f t="shared" si="34"/>
        <v>5</v>
      </c>
      <c r="EO8" s="655" t="s">
        <v>394</v>
      </c>
      <c r="EP8" s="657">
        <f t="shared" si="35"/>
        <v>0</v>
      </c>
      <c r="EQ8" s="646">
        <f t="shared" si="36"/>
        <v>0</v>
      </c>
      <c r="ER8" s="657">
        <f t="shared" si="37"/>
        <v>0</v>
      </c>
      <c r="ES8" s="646">
        <f t="shared" si="38"/>
        <v>0</v>
      </c>
      <c r="ET8" s="657">
        <f t="shared" si="39"/>
        <v>0</v>
      </c>
      <c r="EU8" s="646">
        <f t="shared" si="40"/>
        <v>0</v>
      </c>
      <c r="EV8" s="646">
        <f t="shared" si="41"/>
        <v>0</v>
      </c>
      <c r="EW8" s="657">
        <f t="shared" si="42"/>
        <v>0</v>
      </c>
      <c r="EX8" s="709">
        <f t="shared" si="43"/>
        <v>0</v>
      </c>
      <c r="FH8" s="545">
        <f t="shared" si="121"/>
        <v>5</v>
      </c>
      <c r="FI8" s="669">
        <f t="shared" si="44"/>
        <v>5</v>
      </c>
      <c r="FJ8" s="655" t="s">
        <v>394</v>
      </c>
      <c r="FK8" s="657">
        <f t="shared" si="45"/>
        <v>0</v>
      </c>
      <c r="FL8" s="646">
        <f t="shared" si="46"/>
        <v>0</v>
      </c>
      <c r="FM8" s="709">
        <f t="shared" si="47"/>
        <v>0</v>
      </c>
      <c r="FQ8" s="543">
        <v>5</v>
      </c>
      <c r="FR8" s="669">
        <v>5</v>
      </c>
      <c r="FS8" s="655" t="s">
        <v>394</v>
      </c>
      <c r="FT8" s="646">
        <f t="shared" si="48"/>
        <v>0</v>
      </c>
      <c r="FU8" s="646">
        <f t="shared" si="49"/>
        <v>0</v>
      </c>
      <c r="FV8" s="646">
        <f t="shared" si="50"/>
        <v>0</v>
      </c>
      <c r="FW8" s="646">
        <f t="shared" si="86"/>
        <v>0</v>
      </c>
      <c r="FX8" s="646">
        <f t="shared" si="51"/>
        <v>0</v>
      </c>
      <c r="FY8" s="646">
        <f t="shared" si="52"/>
        <v>0</v>
      </c>
      <c r="FZ8" s="646">
        <f t="shared" si="53"/>
        <v>0</v>
      </c>
      <c r="GA8" s="646">
        <f t="shared" si="54"/>
        <v>0</v>
      </c>
      <c r="GB8" s="746">
        <f t="shared" si="55"/>
        <v>0</v>
      </c>
      <c r="GF8" s="545">
        <f t="shared" si="87"/>
        <v>5</v>
      </c>
      <c r="GG8" s="669">
        <f t="shared" si="56"/>
        <v>5</v>
      </c>
      <c r="GH8" s="655" t="s">
        <v>394</v>
      </c>
      <c r="GI8" s="709">
        <f t="shared" si="57"/>
        <v>0</v>
      </c>
      <c r="GJ8" s="709">
        <f t="shared" si="58"/>
        <v>0</v>
      </c>
      <c r="GK8" s="709">
        <f t="shared" si="59"/>
        <v>0</v>
      </c>
      <c r="GL8" s="709">
        <f t="shared" si="60"/>
        <v>0</v>
      </c>
      <c r="GM8" s="709">
        <f t="shared" si="61"/>
        <v>0</v>
      </c>
      <c r="GN8" s="709">
        <f t="shared" si="62"/>
        <v>0</v>
      </c>
      <c r="GO8" s="709">
        <f t="shared" si="63"/>
        <v>0</v>
      </c>
      <c r="GP8" s="709">
        <f t="shared" si="64"/>
        <v>0</v>
      </c>
      <c r="GQ8" s="656">
        <f t="shared" si="88"/>
        <v>0</v>
      </c>
      <c r="GR8" s="530"/>
      <c r="GU8" s="543">
        <f t="shared" si="89"/>
        <v>5</v>
      </c>
      <c r="GV8" s="669">
        <f t="shared" si="65"/>
        <v>5</v>
      </c>
      <c r="GW8" s="655" t="s">
        <v>394</v>
      </c>
      <c r="GX8" s="658" t="s">
        <v>384</v>
      </c>
      <c r="GY8" s="646">
        <f t="shared" si="90"/>
        <v>0</v>
      </c>
      <c r="GZ8" s="656">
        <f t="shared" si="66"/>
        <v>0</v>
      </c>
      <c r="HA8" s="709">
        <f t="shared" si="91"/>
        <v>3149</v>
      </c>
      <c r="HB8" s="646">
        <f>ROUND(HA8,10)*GZ8/100</f>
        <v>0</v>
      </c>
      <c r="HC8" s="749">
        <f t="shared" si="68"/>
        <v>0</v>
      </c>
      <c r="HD8" s="549"/>
      <c r="HG8" s="549"/>
      <c r="HH8" s="549"/>
      <c r="HI8" s="549"/>
      <c r="HJ8" s="549"/>
      <c r="HK8" s="549"/>
      <c r="HL8" s="549"/>
      <c r="HM8" s="549"/>
      <c r="HP8" s="545">
        <f t="shared" si="122"/>
        <v>5</v>
      </c>
      <c r="HQ8" s="761">
        <f t="shared" si="69"/>
        <v>5</v>
      </c>
      <c r="HR8" s="655" t="s">
        <v>394</v>
      </c>
      <c r="HS8" s="656">
        <f t="shared" si="92"/>
        <v>0</v>
      </c>
      <c r="HT8" s="756">
        <f t="shared" si="93"/>
        <v>3149</v>
      </c>
      <c r="HU8" s="756">
        <v>3149</v>
      </c>
      <c r="HV8" s="647">
        <f t="shared" si="94"/>
        <v>0</v>
      </c>
      <c r="HW8" s="756">
        <f t="shared" si="95"/>
        <v>0</v>
      </c>
      <c r="HX8" s="648">
        <v>10000</v>
      </c>
      <c r="IO8" s="545">
        <v>5</v>
      </c>
      <c r="IP8" s="761">
        <v>5</v>
      </c>
      <c r="IQ8" s="655" t="s">
        <v>394</v>
      </c>
      <c r="IR8" s="769">
        <f t="shared" si="96"/>
        <v>0</v>
      </c>
      <c r="IS8" s="770">
        <f t="shared" si="96"/>
        <v>0</v>
      </c>
      <c r="IT8" s="771">
        <f t="shared" si="96"/>
        <v>3149</v>
      </c>
      <c r="IU8" s="991">
        <v>0</v>
      </c>
      <c r="IV8" s="656">
        <f t="shared" si="98"/>
        <v>0</v>
      </c>
      <c r="IW8" s="769">
        <f t="shared" si="123"/>
        <v>0</v>
      </c>
      <c r="IX8" s="769">
        <f t="shared" si="99"/>
        <v>0</v>
      </c>
      <c r="IY8" s="550">
        <f>IT8</f>
        <v>3149</v>
      </c>
      <c r="IZ8" s="550">
        <f>IY8</f>
        <v>3149</v>
      </c>
      <c r="JA8" s="769">
        <f t="shared" si="102"/>
        <v>0</v>
      </c>
      <c r="JB8" s="746">
        <f t="shared" si="103"/>
        <v>0</v>
      </c>
      <c r="JF8" s="545">
        <f t="shared" si="124"/>
        <v>5</v>
      </c>
      <c r="JG8" s="761">
        <f t="shared" si="70"/>
        <v>5</v>
      </c>
      <c r="JH8" s="655" t="s">
        <v>394</v>
      </c>
      <c r="JI8" s="656">
        <f t="shared" si="104"/>
        <v>0</v>
      </c>
      <c r="JJ8" s="756">
        <f t="shared" si="105"/>
        <v>3149</v>
      </c>
      <c r="JK8" s="756">
        <v>3149</v>
      </c>
      <c r="JL8" s="647">
        <f t="shared" si="126"/>
        <v>0</v>
      </c>
      <c r="JM8" s="756">
        <f t="shared" si="107"/>
        <v>0</v>
      </c>
      <c r="JN8" s="648">
        <v>10000</v>
      </c>
      <c r="JS8" s="756">
        <v>3149</v>
      </c>
      <c r="JT8" s="756">
        <f t="shared" si="108"/>
        <v>0</v>
      </c>
      <c r="JU8" s="1009">
        <v>0</v>
      </c>
      <c r="JV8" s="1009">
        <f t="shared" si="109"/>
        <v>0</v>
      </c>
      <c r="JW8" s="1069">
        <f t="shared" si="110"/>
        <v>0</v>
      </c>
      <c r="JX8" s="997">
        <v>0</v>
      </c>
      <c r="JY8" s="997">
        <f t="shared" si="111"/>
        <v>0</v>
      </c>
      <c r="JZ8" s="516"/>
      <c r="KA8" s="516"/>
      <c r="KB8" s="516"/>
      <c r="KC8" s="516"/>
      <c r="KE8" s="516"/>
      <c r="KF8" s="516"/>
    </row>
    <row r="9" spans="1:292" ht="17.25" thickBot="1" x14ac:dyDescent="0.35">
      <c r="A9" s="222">
        <v>6</v>
      </c>
      <c r="B9" s="653" t="s">
        <v>50</v>
      </c>
      <c r="C9" s="650">
        <f>'Actuals Phase I Schedules'!MC19</f>
        <v>4010208.1181549192</v>
      </c>
      <c r="D9" s="651">
        <f t="shared" si="0"/>
        <v>3.104763955572528E-2</v>
      </c>
      <c r="E9" s="986">
        <v>0.18374188525883148</v>
      </c>
      <c r="I9" s="222">
        <f t="shared" si="112"/>
        <v>6</v>
      </c>
      <c r="J9" s="659">
        <f t="shared" si="1"/>
        <v>6</v>
      </c>
      <c r="K9" s="660" t="s">
        <v>395</v>
      </c>
      <c r="L9" s="991">
        <v>4852924</v>
      </c>
      <c r="M9" s="662">
        <f t="shared" si="2"/>
        <v>2.2235389748003665E-3</v>
      </c>
      <c r="N9" s="661">
        <v>1810</v>
      </c>
      <c r="O9" s="661">
        <f t="shared" si="71"/>
        <v>2681.1734806629834</v>
      </c>
      <c r="P9" s="662">
        <f t="shared" si="3"/>
        <v>1.5134151623799196E-3</v>
      </c>
      <c r="Q9" s="663" t="s">
        <v>379</v>
      </c>
      <c r="U9" s="551">
        <f t="shared" si="113"/>
        <v>6</v>
      </c>
      <c r="V9" s="670">
        <f t="shared" si="4"/>
        <v>6</v>
      </c>
      <c r="W9" s="660" t="s">
        <v>395</v>
      </c>
      <c r="X9" s="671">
        <f t="shared" si="72"/>
        <v>309358.22092365922</v>
      </c>
      <c r="Y9" s="662">
        <f t="shared" si="5"/>
        <v>3.2066512968420805E-3</v>
      </c>
      <c r="AC9" s="551">
        <f t="shared" si="114"/>
        <v>6</v>
      </c>
      <c r="AD9" s="681">
        <v>6</v>
      </c>
      <c r="AE9" s="682" t="s">
        <v>395</v>
      </c>
      <c r="AF9" s="683">
        <v>6.16</v>
      </c>
      <c r="AP9" s="551">
        <f t="shared" si="74"/>
        <v>6</v>
      </c>
      <c r="AQ9" s="697">
        <f t="shared" si="6"/>
        <v>6</v>
      </c>
      <c r="AR9" s="660" t="s">
        <v>395</v>
      </c>
      <c r="AS9" s="660">
        <f t="shared" si="7"/>
        <v>6.16</v>
      </c>
      <c r="AT9" s="698">
        <f t="shared" si="75"/>
        <v>4852924</v>
      </c>
      <c r="AU9" s="698">
        <f t="shared" si="115"/>
        <v>8303.8921777777778</v>
      </c>
      <c r="AV9" s="699">
        <f t="shared" si="8"/>
        <v>8577.1574031517812</v>
      </c>
      <c r="AW9" s="700">
        <f t="shared" si="9"/>
        <v>21.592508896755891</v>
      </c>
      <c r="AX9" s="671">
        <f t="shared" si="125"/>
        <v>185202.34753643049</v>
      </c>
      <c r="AY9" s="465">
        <f t="shared" si="76"/>
        <v>4.4261381817507451E-3</v>
      </c>
      <c r="AZ9" s="553">
        <f t="shared" si="10"/>
        <v>3.8163040000000001</v>
      </c>
      <c r="BK9" s="222">
        <f t="shared" si="116"/>
        <v>6</v>
      </c>
      <c r="BL9" s="663">
        <f t="shared" si="11"/>
        <v>6</v>
      </c>
      <c r="BM9" s="660" t="s">
        <v>395</v>
      </c>
      <c r="BN9" s="662">
        <f t="shared" si="77"/>
        <v>4.4261381817507451E-3</v>
      </c>
      <c r="BO9" s="671">
        <f t="shared" si="78"/>
        <v>42432.115951631953</v>
      </c>
      <c r="BP9" s="662">
        <f t="shared" si="79"/>
        <v>2.2235389748003665E-3</v>
      </c>
      <c r="BQ9" s="671">
        <f t="shared" si="80"/>
        <v>21316.429746976934</v>
      </c>
      <c r="BR9" s="710">
        <f t="shared" si="12"/>
        <v>63748.545698608883</v>
      </c>
      <c r="BS9" s="711">
        <f t="shared" si="13"/>
        <v>1.3136110000000001</v>
      </c>
      <c r="BW9" s="274">
        <v>6</v>
      </c>
      <c r="BX9" s="572" t="s">
        <v>71</v>
      </c>
      <c r="BY9" s="576">
        <f>SUM(BY4:BY8)</f>
        <v>1.0000000000000004</v>
      </c>
      <c r="BZ9" s="577">
        <f>'Actuals Phase II Schedules'!C7</f>
        <v>25073716.728897151</v>
      </c>
      <c r="CA9" s="578"/>
      <c r="CB9" s="578"/>
      <c r="CC9" s="577">
        <f>SUM(CC4:CC8)</f>
        <v>5861738.7768834978</v>
      </c>
      <c r="CD9" s="577">
        <f>SUM(CD4:CD8)</f>
        <v>19211977.952013664</v>
      </c>
      <c r="CH9" s="222">
        <f t="shared" si="117"/>
        <v>6</v>
      </c>
      <c r="CI9" s="681">
        <f t="shared" si="15"/>
        <v>6</v>
      </c>
      <c r="CJ9" s="660" t="s">
        <v>395</v>
      </c>
      <c r="CK9" s="723">
        <f t="shared" si="16"/>
        <v>2.2235389748003665E-3</v>
      </c>
      <c r="CL9" s="650">
        <f t="shared" si="17"/>
        <v>13033.804630499088</v>
      </c>
      <c r="CM9" s="723">
        <f t="shared" si="18"/>
        <v>1.5134151623799196E-3</v>
      </c>
      <c r="CN9" s="650">
        <f t="shared" si="19"/>
        <v>29075.698731886194</v>
      </c>
      <c r="CO9" s="650">
        <f t="shared" si="20"/>
        <v>42109.50336238528</v>
      </c>
      <c r="CP9" s="723">
        <f t="shared" si="21"/>
        <v>1.6794280567848396E-3</v>
      </c>
      <c r="CQ9" s="724">
        <f t="shared" si="22"/>
        <v>0.86771399999999999</v>
      </c>
      <c r="DB9" s="198"/>
      <c r="DC9" s="198"/>
      <c r="DG9" s="551">
        <f t="shared" si="118"/>
        <v>6</v>
      </c>
      <c r="DH9" s="677">
        <f t="shared" si="23"/>
        <v>6</v>
      </c>
      <c r="DI9" s="660" t="s">
        <v>395</v>
      </c>
      <c r="DJ9" s="723">
        <f t="shared" si="24"/>
        <v>1.6794280567848396E-3</v>
      </c>
      <c r="DK9" s="650">
        <f t="shared" si="82"/>
        <v>632.63170609088922</v>
      </c>
      <c r="DL9" s="723">
        <f t="shared" si="25"/>
        <v>1.5134151623799196E-3</v>
      </c>
      <c r="DM9" s="650">
        <f t="shared" si="26"/>
        <v>3705.0453994052436</v>
      </c>
      <c r="DN9" s="723">
        <f t="shared" si="27"/>
        <v>2.2235389748003665E-3</v>
      </c>
      <c r="DO9" s="650">
        <f t="shared" si="83"/>
        <v>7891.0374504237489</v>
      </c>
      <c r="DP9" s="650">
        <f t="shared" si="84"/>
        <v>12228.714555919882</v>
      </c>
      <c r="DQ9" s="723">
        <f t="shared" si="28"/>
        <v>1.9186227110843392E-3</v>
      </c>
      <c r="DR9" s="724">
        <f t="shared" si="29"/>
        <v>0.25198700000000002</v>
      </c>
      <c r="DV9" s="551">
        <f t="shared" si="119"/>
        <v>6</v>
      </c>
      <c r="DW9" s="677">
        <f t="shared" si="30"/>
        <v>6</v>
      </c>
      <c r="DX9" s="660" t="s">
        <v>395</v>
      </c>
      <c r="DY9" s="723">
        <f t="shared" si="31"/>
        <v>1.5134151623799196E-3</v>
      </c>
      <c r="DZ9" s="650">
        <f t="shared" si="32"/>
        <v>6069.1097703146988</v>
      </c>
      <c r="EA9" s="724">
        <f t="shared" si="33"/>
        <v>0.12506100000000001</v>
      </c>
      <c r="EG9" s="12" t="s">
        <v>427</v>
      </c>
      <c r="EM9" s="551">
        <f t="shared" si="120"/>
        <v>6</v>
      </c>
      <c r="EN9" s="677">
        <f t="shared" si="34"/>
        <v>6</v>
      </c>
      <c r="EO9" s="660" t="s">
        <v>395</v>
      </c>
      <c r="EP9" s="723">
        <f t="shared" si="35"/>
        <v>3.2066512968420805E-3</v>
      </c>
      <c r="EQ9" s="650">
        <f t="shared" si="36"/>
        <v>25071.100960046544</v>
      </c>
      <c r="ER9" s="723">
        <f t="shared" si="37"/>
        <v>1.6794280567848396E-3</v>
      </c>
      <c r="ES9" s="650">
        <f t="shared" si="38"/>
        <v>1694.9346733775694</v>
      </c>
      <c r="ET9" s="723">
        <f t="shared" si="39"/>
        <v>2.2235389748003665E-3</v>
      </c>
      <c r="EU9" s="650">
        <f t="shared" si="40"/>
        <v>9499.627518770998</v>
      </c>
      <c r="EV9" s="650">
        <f t="shared" si="41"/>
        <v>36265.663152195113</v>
      </c>
      <c r="EW9" s="723">
        <f t="shared" si="42"/>
        <v>2.7683707512258515E-3</v>
      </c>
      <c r="EX9" s="724">
        <f t="shared" si="43"/>
        <v>0.74729500000000004</v>
      </c>
      <c r="FH9" s="551">
        <f t="shared" si="121"/>
        <v>6</v>
      </c>
      <c r="FI9" s="670">
        <f t="shared" si="44"/>
        <v>6</v>
      </c>
      <c r="FJ9" s="660" t="s">
        <v>395</v>
      </c>
      <c r="FK9" s="723">
        <f t="shared" si="45"/>
        <v>3.2066512968420805E-3</v>
      </c>
      <c r="FL9" s="650">
        <f t="shared" si="46"/>
        <v>62932.824280349312</v>
      </c>
      <c r="FM9" s="724">
        <f t="shared" si="47"/>
        <v>1.296802</v>
      </c>
      <c r="FQ9" s="222">
        <v>6</v>
      </c>
      <c r="FR9" s="670">
        <v>6</v>
      </c>
      <c r="FS9" s="660" t="s">
        <v>395</v>
      </c>
      <c r="FT9" s="650">
        <f t="shared" si="48"/>
        <v>185202.34753643049</v>
      </c>
      <c r="FU9" s="650">
        <f t="shared" si="49"/>
        <v>63748.545698608883</v>
      </c>
      <c r="FV9" s="650">
        <f t="shared" si="50"/>
        <v>42109.50336238528</v>
      </c>
      <c r="FW9" s="650">
        <f t="shared" si="86"/>
        <v>12228.714555919882</v>
      </c>
      <c r="FX9" s="650">
        <f t="shared" si="51"/>
        <v>6069.1097703146988</v>
      </c>
      <c r="FY9" s="650">
        <f t="shared" si="52"/>
        <v>36265.663152195113</v>
      </c>
      <c r="FZ9" s="650">
        <f t="shared" si="53"/>
        <v>62932.824280349312</v>
      </c>
      <c r="GA9" s="650">
        <f t="shared" si="54"/>
        <v>408556.70835620363</v>
      </c>
      <c r="GB9" s="747">
        <f t="shared" si="55"/>
        <v>8.4187740000000009</v>
      </c>
      <c r="GF9" s="551">
        <f t="shared" si="87"/>
        <v>6</v>
      </c>
      <c r="GG9" s="670">
        <f t="shared" si="56"/>
        <v>6</v>
      </c>
      <c r="GH9" s="660" t="s">
        <v>395</v>
      </c>
      <c r="GI9" s="724">
        <f t="shared" si="57"/>
        <v>3.8163040000000001</v>
      </c>
      <c r="GJ9" s="724">
        <f t="shared" si="58"/>
        <v>1.3136110000000001</v>
      </c>
      <c r="GK9" s="724">
        <f t="shared" si="59"/>
        <v>0.86771399999999999</v>
      </c>
      <c r="GL9" s="724">
        <f t="shared" si="60"/>
        <v>0.25198700000000002</v>
      </c>
      <c r="GM9" s="724">
        <f t="shared" si="61"/>
        <v>0.12506100000000001</v>
      </c>
      <c r="GN9" s="724">
        <f t="shared" si="62"/>
        <v>0.74729500000000004</v>
      </c>
      <c r="GO9" s="724">
        <f t="shared" si="63"/>
        <v>1.296802</v>
      </c>
      <c r="GP9" s="724">
        <f t="shared" si="64"/>
        <v>8.4187740000000009</v>
      </c>
      <c r="GQ9" s="661">
        <f t="shared" si="88"/>
        <v>4852924</v>
      </c>
      <c r="GR9" s="530"/>
      <c r="GU9" s="222">
        <f t="shared" si="89"/>
        <v>6</v>
      </c>
      <c r="GV9" s="670">
        <f t="shared" si="65"/>
        <v>6</v>
      </c>
      <c r="GW9" s="660" t="s">
        <v>395</v>
      </c>
      <c r="GX9" s="663" t="s">
        <v>379</v>
      </c>
      <c r="GY9" s="671">
        <f t="shared" si="90"/>
        <v>408556.70835620363</v>
      </c>
      <c r="GZ9" s="661">
        <f t="shared" si="66"/>
        <v>4852924</v>
      </c>
      <c r="HA9" s="724">
        <f t="shared" si="91"/>
        <v>8.4187740000000009</v>
      </c>
      <c r="HB9" s="650">
        <f t="shared" si="67"/>
        <v>408556.70395176002</v>
      </c>
      <c r="HC9" s="750">
        <f t="shared" si="68"/>
        <v>-4.4044436071999371E-3</v>
      </c>
      <c r="HD9" s="549"/>
      <c r="HG9" s="549"/>
      <c r="HH9" s="549"/>
      <c r="HI9" s="549"/>
      <c r="HJ9" s="549"/>
      <c r="HK9" s="549"/>
      <c r="HL9" s="549"/>
      <c r="HM9" s="549"/>
      <c r="HP9" s="551">
        <f t="shared" si="122"/>
        <v>6</v>
      </c>
      <c r="HQ9" s="762">
        <f t="shared" si="69"/>
        <v>6</v>
      </c>
      <c r="HR9" s="660" t="s">
        <v>395</v>
      </c>
      <c r="HS9" s="661">
        <f t="shared" si="92"/>
        <v>4852924</v>
      </c>
      <c r="HT9" s="757">
        <f t="shared" si="93"/>
        <v>8.4187740000000009</v>
      </c>
      <c r="HU9" s="757">
        <v>7.3521840000000003</v>
      </c>
      <c r="HV9" s="651">
        <f t="shared" si="94"/>
        <v>0.14507117884971321</v>
      </c>
      <c r="HW9" s="757">
        <f t="shared" si="95"/>
        <v>1.0665900000000006</v>
      </c>
      <c r="HX9" s="652">
        <v>10</v>
      </c>
      <c r="IO9" s="551">
        <v>6</v>
      </c>
      <c r="IP9" s="762">
        <v>6</v>
      </c>
      <c r="IQ9" s="660" t="s">
        <v>395</v>
      </c>
      <c r="IR9" s="772">
        <f t="shared" si="96"/>
        <v>408556.70835620363</v>
      </c>
      <c r="IS9" s="773">
        <f t="shared" si="96"/>
        <v>4852924</v>
      </c>
      <c r="IT9" s="774">
        <f t="shared" si="96"/>
        <v>8.4187740000000009</v>
      </c>
      <c r="IU9" s="661">
        <f t="shared" si="97"/>
        <v>714258.32666646375</v>
      </c>
      <c r="IV9" s="661">
        <f t="shared" si="98"/>
        <v>4138665.6733335364</v>
      </c>
      <c r="IW9" s="772">
        <f t="shared" si="123"/>
        <v>10713.874899996956</v>
      </c>
      <c r="IX9" s="772">
        <f t="shared" si="99"/>
        <v>397842.83345620666</v>
      </c>
      <c r="IY9" s="455">
        <f t="shared" si="100"/>
        <v>8.1980025538460239</v>
      </c>
      <c r="IZ9" s="555">
        <f t="shared" si="101"/>
        <v>9.6980025538460239</v>
      </c>
      <c r="JA9" s="772">
        <f t="shared" si="102"/>
        <v>408556.70835620357</v>
      </c>
      <c r="JB9" s="778">
        <f t="shared" si="103"/>
        <v>0.22077144615397692</v>
      </c>
      <c r="JF9" s="551">
        <f t="shared" si="124"/>
        <v>6</v>
      </c>
      <c r="JG9" s="762">
        <f t="shared" si="70"/>
        <v>6</v>
      </c>
      <c r="JH9" s="660" t="s">
        <v>395</v>
      </c>
      <c r="JI9" s="661">
        <f t="shared" si="104"/>
        <v>4852924</v>
      </c>
      <c r="JJ9" s="757">
        <f t="shared" si="105"/>
        <v>8.1980025538460239</v>
      </c>
      <c r="JK9" s="757">
        <v>7.129950632713701</v>
      </c>
      <c r="JL9" s="651">
        <f t="shared" si="126"/>
        <v>0.1497979405680423</v>
      </c>
      <c r="JM9" s="757">
        <f t="shared" si="107"/>
        <v>1.0680519211323229</v>
      </c>
      <c r="JN9" s="652">
        <v>10</v>
      </c>
      <c r="JS9" s="757">
        <v>8.1980025538460239</v>
      </c>
      <c r="JT9" s="757">
        <f t="shared" si="108"/>
        <v>0</v>
      </c>
      <c r="JU9" s="1010">
        <v>4852924</v>
      </c>
      <c r="JV9" s="1010">
        <f t="shared" si="109"/>
        <v>0</v>
      </c>
      <c r="JW9" s="1069">
        <f t="shared" si="110"/>
        <v>0</v>
      </c>
      <c r="JX9" s="997">
        <v>397842.8334562066</v>
      </c>
      <c r="JY9" s="997">
        <f t="shared" si="111"/>
        <v>397842.8334562066</v>
      </c>
      <c r="JZ9" s="516"/>
      <c r="KA9" s="516"/>
      <c r="KB9" s="516"/>
      <c r="KC9" s="516"/>
      <c r="KE9" s="516"/>
      <c r="KF9" s="516"/>
    </row>
    <row r="10" spans="1:292" ht="16.5" x14ac:dyDescent="0.3">
      <c r="A10" s="543">
        <v>7</v>
      </c>
      <c r="B10" s="645" t="s">
        <v>53</v>
      </c>
      <c r="C10" s="646">
        <f>'Actuals Phase I Schedules'!MC20</f>
        <v>13100002.279729499</v>
      </c>
      <c r="D10" s="647">
        <f t="shared" si="0"/>
        <v>0.10142220477757974</v>
      </c>
      <c r="E10" s="986">
        <v>0.60022299213736274</v>
      </c>
      <c r="I10" s="543">
        <f t="shared" si="112"/>
        <v>7</v>
      </c>
      <c r="J10" s="654">
        <f t="shared" si="1"/>
        <v>7</v>
      </c>
      <c r="K10" s="655" t="s">
        <v>396</v>
      </c>
      <c r="L10" s="991">
        <v>36519236</v>
      </c>
      <c r="M10" s="657">
        <f t="shared" si="2"/>
        <v>1.6732581135812684E-2</v>
      </c>
      <c r="N10" s="656">
        <v>892</v>
      </c>
      <c r="O10" s="656">
        <f t="shared" si="71"/>
        <v>40940.847533632288</v>
      </c>
      <c r="P10" s="657">
        <f t="shared" si="3"/>
        <v>2.3109470485573519E-2</v>
      </c>
      <c r="Q10" s="658" t="s">
        <v>379</v>
      </c>
      <c r="U10" s="545">
        <f t="shared" si="113"/>
        <v>7</v>
      </c>
      <c r="V10" s="669">
        <f t="shared" si="4"/>
        <v>7</v>
      </c>
      <c r="W10" s="655" t="s">
        <v>396</v>
      </c>
      <c r="X10" s="646">
        <f t="shared" si="72"/>
        <v>2276293.6451679436</v>
      </c>
      <c r="Y10" s="657">
        <f t="shared" si="5"/>
        <v>2.3594911903351123E-2</v>
      </c>
      <c r="AC10" s="545">
        <f t="shared" si="114"/>
        <v>7</v>
      </c>
      <c r="AD10" s="678">
        <v>7</v>
      </c>
      <c r="AE10" s="679" t="s">
        <v>396</v>
      </c>
      <c r="AF10" s="680">
        <v>4.88</v>
      </c>
      <c r="AP10" s="545">
        <f t="shared" si="74"/>
        <v>7</v>
      </c>
      <c r="AQ10" s="693">
        <f t="shared" si="6"/>
        <v>7</v>
      </c>
      <c r="AR10" s="655" t="s">
        <v>396</v>
      </c>
      <c r="AS10" s="655">
        <f t="shared" si="7"/>
        <v>4.88</v>
      </c>
      <c r="AT10" s="694">
        <f t="shared" si="75"/>
        <v>36519236</v>
      </c>
      <c r="AU10" s="694">
        <f t="shared" si="115"/>
        <v>49503.85324444445</v>
      </c>
      <c r="AV10" s="695">
        <f t="shared" si="8"/>
        <v>51132.930468005514</v>
      </c>
      <c r="AW10" s="696">
        <f t="shared" si="9"/>
        <v>21.592508896755891</v>
      </c>
      <c r="AX10" s="646">
        <f t="shared" si="125"/>
        <v>1104088.2560476095</v>
      </c>
      <c r="AY10" s="544">
        <f t="shared" si="76"/>
        <v>2.638652938863879E-2</v>
      </c>
      <c r="AZ10" s="548">
        <f t="shared" si="10"/>
        <v>3.0233059999999998</v>
      </c>
      <c r="BK10" s="543">
        <f t="shared" si="116"/>
        <v>7</v>
      </c>
      <c r="BL10" s="658">
        <f t="shared" si="11"/>
        <v>7</v>
      </c>
      <c r="BM10" s="655" t="s">
        <v>396</v>
      </c>
      <c r="BN10" s="657">
        <f t="shared" si="77"/>
        <v>2.638652938863879E-2</v>
      </c>
      <c r="BO10" s="646">
        <f t="shared" si="78"/>
        <v>252960.08136307137</v>
      </c>
      <c r="BP10" s="657">
        <f t="shared" si="79"/>
        <v>1.6732581135812684E-2</v>
      </c>
      <c r="BQ10" s="646">
        <f t="shared" si="80"/>
        <v>160410.45122636805</v>
      </c>
      <c r="BR10" s="708">
        <f t="shared" si="12"/>
        <v>413370.53258943942</v>
      </c>
      <c r="BS10" s="709">
        <f t="shared" si="13"/>
        <v>1.1319250000000001</v>
      </c>
      <c r="BV10" s="15"/>
      <c r="BW10" s="190"/>
      <c r="BX10" s="190"/>
      <c r="BY10" s="190"/>
      <c r="BZ10" s="190"/>
      <c r="CA10" s="190"/>
      <c r="CB10" s="190"/>
      <c r="CC10" s="190"/>
      <c r="CD10" s="190"/>
      <c r="CH10" s="543">
        <f t="shared" si="117"/>
        <v>7</v>
      </c>
      <c r="CI10" s="678">
        <f t="shared" si="15"/>
        <v>7</v>
      </c>
      <c r="CJ10" s="655" t="s">
        <v>396</v>
      </c>
      <c r="CK10" s="657">
        <f t="shared" si="16"/>
        <v>1.6732581135812684E-2</v>
      </c>
      <c r="CL10" s="646">
        <f t="shared" si="17"/>
        <v>98082.019681142527</v>
      </c>
      <c r="CM10" s="657">
        <f t="shared" si="18"/>
        <v>2.3109470485573519E-2</v>
      </c>
      <c r="CN10" s="646">
        <f t="shared" si="19"/>
        <v>443978.63745154894</v>
      </c>
      <c r="CO10" s="646">
        <f t="shared" si="20"/>
        <v>542060.65713269147</v>
      </c>
      <c r="CP10" s="657">
        <f t="shared" si="21"/>
        <v>2.1618679950546504E-2</v>
      </c>
      <c r="CQ10" s="709">
        <f t="shared" si="22"/>
        <v>1.4843150000000001</v>
      </c>
      <c r="DB10" s="198"/>
      <c r="DC10" s="198"/>
      <c r="DD10" s="15"/>
      <c r="DG10" s="545">
        <f t="shared" si="118"/>
        <v>7</v>
      </c>
      <c r="DH10" s="739">
        <f t="shared" si="23"/>
        <v>7</v>
      </c>
      <c r="DI10" s="655" t="s">
        <v>396</v>
      </c>
      <c r="DJ10" s="657">
        <f t="shared" si="24"/>
        <v>2.1618679950546504E-2</v>
      </c>
      <c r="DK10" s="646">
        <f t="shared" si="82"/>
        <v>8143.6429058653775</v>
      </c>
      <c r="DL10" s="657">
        <f t="shared" si="25"/>
        <v>2.3109470485573519E-2</v>
      </c>
      <c r="DM10" s="646">
        <f t="shared" si="26"/>
        <v>56575.115297920762</v>
      </c>
      <c r="DN10" s="657">
        <f t="shared" si="27"/>
        <v>1.6732581135812684E-2</v>
      </c>
      <c r="DO10" s="646">
        <f t="shared" si="83"/>
        <v>59381.655046908454</v>
      </c>
      <c r="DP10" s="646">
        <f t="shared" si="84"/>
        <v>124100.4132506946</v>
      </c>
      <c r="DQ10" s="657">
        <f t="shared" si="28"/>
        <v>1.9470719528936111E-2</v>
      </c>
      <c r="DR10" s="709">
        <f t="shared" si="29"/>
        <v>0.33982200000000001</v>
      </c>
      <c r="DV10" s="545">
        <f t="shared" si="119"/>
        <v>7</v>
      </c>
      <c r="DW10" s="739">
        <f t="shared" si="30"/>
        <v>7</v>
      </c>
      <c r="DX10" s="655" t="s">
        <v>396</v>
      </c>
      <c r="DY10" s="657">
        <f t="shared" si="31"/>
        <v>2.3109470485573519E-2</v>
      </c>
      <c r="DZ10" s="646">
        <f t="shared" si="32"/>
        <v>92673.786147508436</v>
      </c>
      <c r="EA10" s="709">
        <f t="shared" si="33"/>
        <v>0.25376700000000002</v>
      </c>
      <c r="EG10" s="16"/>
      <c r="EH10" s="16"/>
      <c r="EI10" s="16"/>
      <c r="EM10" s="545">
        <f t="shared" si="120"/>
        <v>7</v>
      </c>
      <c r="EN10" s="739">
        <f t="shared" si="34"/>
        <v>7</v>
      </c>
      <c r="EO10" s="655" t="s">
        <v>396</v>
      </c>
      <c r="EP10" s="657">
        <f t="shared" si="35"/>
        <v>2.3594911903351123E-2</v>
      </c>
      <c r="EQ10" s="646">
        <f t="shared" si="36"/>
        <v>184476.06668516796</v>
      </c>
      <c r="ER10" s="657">
        <f t="shared" si="37"/>
        <v>2.1618679950546504E-2</v>
      </c>
      <c r="ES10" s="646">
        <f t="shared" si="38"/>
        <v>21818.291109762125</v>
      </c>
      <c r="ET10" s="657">
        <f t="shared" si="39"/>
        <v>1.6732581135812684E-2</v>
      </c>
      <c r="EU10" s="646">
        <f t="shared" si="40"/>
        <v>71486.62111133257</v>
      </c>
      <c r="EV10" s="646">
        <f t="shared" si="41"/>
        <v>277780.97890626267</v>
      </c>
      <c r="EW10" s="657">
        <f t="shared" si="42"/>
        <v>2.1204651188198007E-2</v>
      </c>
      <c r="EX10" s="709">
        <f t="shared" si="43"/>
        <v>0.76064299999999996</v>
      </c>
      <c r="FH10" s="545">
        <f t="shared" si="121"/>
        <v>7</v>
      </c>
      <c r="FI10" s="669">
        <f t="shared" si="44"/>
        <v>7</v>
      </c>
      <c r="FJ10" s="655" t="s">
        <v>396</v>
      </c>
      <c r="FK10" s="657">
        <f t="shared" si="45"/>
        <v>2.3594911903351123E-2</v>
      </c>
      <c r="FL10" s="646">
        <f t="shared" si="46"/>
        <v>463067.01517132437</v>
      </c>
      <c r="FM10" s="709">
        <f t="shared" si="47"/>
        <v>1.268008</v>
      </c>
      <c r="FQ10" s="543">
        <v>7</v>
      </c>
      <c r="FR10" s="669">
        <v>7</v>
      </c>
      <c r="FS10" s="655" t="s">
        <v>396</v>
      </c>
      <c r="FT10" s="646">
        <f t="shared" si="48"/>
        <v>1104088.2560476095</v>
      </c>
      <c r="FU10" s="646">
        <f t="shared" si="49"/>
        <v>413370.53258943942</v>
      </c>
      <c r="FV10" s="646">
        <f t="shared" si="50"/>
        <v>542060.65713269147</v>
      </c>
      <c r="FW10" s="646">
        <f t="shared" si="86"/>
        <v>124100.4132506946</v>
      </c>
      <c r="FX10" s="646">
        <f t="shared" si="51"/>
        <v>92673.786147508436</v>
      </c>
      <c r="FY10" s="646">
        <f t="shared" si="52"/>
        <v>277780.97890626267</v>
      </c>
      <c r="FZ10" s="646">
        <f>VLOOKUP(FR10,$FI$4:$FL$27,$FZ$33,FALSE)</f>
        <v>463067.01517132437</v>
      </c>
      <c r="GA10" s="646">
        <f t="shared" si="54"/>
        <v>3017141.6392455306</v>
      </c>
      <c r="GB10" s="746">
        <f t="shared" si="55"/>
        <v>8.261787</v>
      </c>
      <c r="GF10" s="545">
        <f t="shared" si="87"/>
        <v>7</v>
      </c>
      <c r="GG10" s="669">
        <f t="shared" si="56"/>
        <v>7</v>
      </c>
      <c r="GH10" s="655" t="s">
        <v>396</v>
      </c>
      <c r="GI10" s="709">
        <f t="shared" si="57"/>
        <v>3.0233059999999998</v>
      </c>
      <c r="GJ10" s="709">
        <f t="shared" si="58"/>
        <v>1.1319250000000001</v>
      </c>
      <c r="GK10" s="709">
        <f t="shared" si="59"/>
        <v>1.4843150000000001</v>
      </c>
      <c r="GL10" s="709">
        <f t="shared" si="60"/>
        <v>0.33982200000000001</v>
      </c>
      <c r="GM10" s="709">
        <f t="shared" si="61"/>
        <v>0.25376700000000002</v>
      </c>
      <c r="GN10" s="709">
        <f t="shared" si="62"/>
        <v>0.76064299999999996</v>
      </c>
      <c r="GO10" s="709">
        <f t="shared" si="63"/>
        <v>1.268008</v>
      </c>
      <c r="GP10" s="709">
        <f t="shared" si="64"/>
        <v>8.261787</v>
      </c>
      <c r="GQ10" s="656">
        <f t="shared" si="88"/>
        <v>36519236</v>
      </c>
      <c r="GR10" s="530"/>
      <c r="GU10" s="543">
        <f t="shared" si="89"/>
        <v>7</v>
      </c>
      <c r="GV10" s="669">
        <f t="shared" si="65"/>
        <v>7</v>
      </c>
      <c r="GW10" s="655" t="s">
        <v>396</v>
      </c>
      <c r="GX10" s="658" t="s">
        <v>379</v>
      </c>
      <c r="GY10" s="646">
        <f t="shared" si="90"/>
        <v>3017141.6392455306</v>
      </c>
      <c r="GZ10" s="656">
        <f t="shared" si="66"/>
        <v>36519236</v>
      </c>
      <c r="HA10" s="709">
        <f t="shared" si="91"/>
        <v>8.261787</v>
      </c>
      <c r="HB10" s="646">
        <f t="shared" si="67"/>
        <v>3017141.4923473196</v>
      </c>
      <c r="HC10" s="749">
        <f t="shared" si="68"/>
        <v>-0.14689821097999811</v>
      </c>
      <c r="HD10" s="549"/>
      <c r="HG10" s="549"/>
      <c r="HH10" s="549"/>
      <c r="HI10" s="549"/>
      <c r="HJ10" s="549"/>
      <c r="HK10" s="549"/>
      <c r="HL10" s="549"/>
      <c r="HM10" s="549"/>
      <c r="HP10" s="545">
        <f t="shared" si="122"/>
        <v>7</v>
      </c>
      <c r="HQ10" s="761">
        <f t="shared" si="69"/>
        <v>7</v>
      </c>
      <c r="HR10" s="655" t="s">
        <v>396</v>
      </c>
      <c r="HS10" s="656">
        <f t="shared" si="92"/>
        <v>36519236</v>
      </c>
      <c r="HT10" s="756">
        <f t="shared" si="93"/>
        <v>8.261787</v>
      </c>
      <c r="HU10" s="756">
        <v>7.2431219999999996</v>
      </c>
      <c r="HV10" s="647">
        <f t="shared" si="94"/>
        <v>0.14063893994882326</v>
      </c>
      <c r="HW10" s="756">
        <f t="shared" si="95"/>
        <v>1.0186650000000004</v>
      </c>
      <c r="HX10" s="648">
        <v>10</v>
      </c>
      <c r="IO10" s="545">
        <v>7</v>
      </c>
      <c r="IP10" s="761">
        <v>7</v>
      </c>
      <c r="IQ10" s="655" t="s">
        <v>396</v>
      </c>
      <c r="IR10" s="769">
        <f t="shared" si="96"/>
        <v>3017141.6392455306</v>
      </c>
      <c r="IS10" s="770">
        <f t="shared" si="96"/>
        <v>36519236</v>
      </c>
      <c r="IT10" s="771">
        <f t="shared" si="96"/>
        <v>8.261787</v>
      </c>
      <c r="IU10" s="656">
        <f>IS10*$IJ$4/(1-$IK$4)</f>
        <v>5374938.5723942276</v>
      </c>
      <c r="IV10" s="656">
        <f t="shared" si="98"/>
        <v>31144297.427605771</v>
      </c>
      <c r="IW10" s="769">
        <f t="shared" si="123"/>
        <v>80624.078585913405</v>
      </c>
      <c r="IX10" s="769">
        <f t="shared" si="99"/>
        <v>2936517.5606596172</v>
      </c>
      <c r="IY10" s="550">
        <f t="shared" si="100"/>
        <v>8.0410158653363322</v>
      </c>
      <c r="IZ10" s="550">
        <f t="shared" si="101"/>
        <v>9.5410158653363322</v>
      </c>
      <c r="JA10" s="769">
        <f t="shared" si="102"/>
        <v>3017141.6392455306</v>
      </c>
      <c r="JB10" s="746">
        <f t="shared" si="103"/>
        <v>0.22077113466366782</v>
      </c>
      <c r="JF10" s="545">
        <f t="shared" si="124"/>
        <v>7</v>
      </c>
      <c r="JG10" s="761">
        <f t="shared" si="70"/>
        <v>7</v>
      </c>
      <c r="JH10" s="655" t="s">
        <v>396</v>
      </c>
      <c r="JI10" s="656">
        <f t="shared" si="104"/>
        <v>36519236</v>
      </c>
      <c r="JJ10" s="756">
        <f t="shared" si="105"/>
        <v>8.0410158653363322</v>
      </c>
      <c r="JK10" s="756">
        <v>7.0208891708348835</v>
      </c>
      <c r="JL10" s="647">
        <f t="shared" si="126"/>
        <v>0.14529878903930071</v>
      </c>
      <c r="JM10" s="756">
        <f t="shared" si="107"/>
        <v>1.0201266945014487</v>
      </c>
      <c r="JN10" s="648">
        <v>10</v>
      </c>
      <c r="JS10" s="756">
        <v>8.0410158653363322</v>
      </c>
      <c r="JT10" s="756">
        <f t="shared" si="108"/>
        <v>0</v>
      </c>
      <c r="JU10" s="1009">
        <v>36519236</v>
      </c>
      <c r="JV10" s="1009">
        <f t="shared" si="109"/>
        <v>0</v>
      </c>
      <c r="JW10" s="1069">
        <f t="shared" si="110"/>
        <v>0</v>
      </c>
      <c r="JX10" s="997">
        <v>2936517.5606596172</v>
      </c>
      <c r="JY10" s="997">
        <f t="shared" si="111"/>
        <v>2936517.5606596172</v>
      </c>
      <c r="JZ10" s="516"/>
      <c r="KA10" s="516"/>
      <c r="KB10" s="516"/>
      <c r="KC10" s="516"/>
      <c r="KE10" s="516"/>
      <c r="KF10" s="516"/>
    </row>
    <row r="11" spans="1:292" ht="16.5" x14ac:dyDescent="0.3">
      <c r="A11" s="222">
        <v>8</v>
      </c>
      <c r="B11" s="649" t="s">
        <v>232</v>
      </c>
      <c r="C11" s="650">
        <f>'Actuals Phase I Schedules'!MC23</f>
        <v>19960070.068912446</v>
      </c>
      <c r="D11" s="651">
        <f t="shared" si="0"/>
        <v>0.15453389019913055</v>
      </c>
      <c r="E11" s="986">
        <v>0.91362793435053979</v>
      </c>
      <c r="I11" s="222">
        <f t="shared" si="112"/>
        <v>8</v>
      </c>
      <c r="J11" s="659">
        <f t="shared" si="1"/>
        <v>8</v>
      </c>
      <c r="K11" s="660" t="s">
        <v>397</v>
      </c>
      <c r="L11" s="991">
        <v>24199719</v>
      </c>
      <c r="M11" s="662">
        <f t="shared" si="2"/>
        <v>1.1087958182678515E-2</v>
      </c>
      <c r="N11" s="661">
        <v>357</v>
      </c>
      <c r="O11" s="661">
        <f t="shared" si="71"/>
        <v>67786.327731092431</v>
      </c>
      <c r="P11" s="662">
        <f t="shared" si="3"/>
        <v>3.8262670032422584E-2</v>
      </c>
      <c r="Q11" s="663" t="s">
        <v>379</v>
      </c>
      <c r="U11" s="551">
        <f t="shared" si="113"/>
        <v>8</v>
      </c>
      <c r="V11" s="670">
        <f t="shared" si="4"/>
        <v>8</v>
      </c>
      <c r="W11" s="660" t="s">
        <v>397</v>
      </c>
      <c r="X11" s="671">
        <f t="shared" si="72"/>
        <v>2903883.2863791049</v>
      </c>
      <c r="Y11" s="662">
        <f t="shared" si="5"/>
        <v>3.0100189606545067E-2</v>
      </c>
      <c r="AC11" s="551">
        <f t="shared" si="114"/>
        <v>8</v>
      </c>
      <c r="AD11" s="681">
        <v>8</v>
      </c>
      <c r="AE11" s="682" t="s">
        <v>397</v>
      </c>
      <c r="AF11" s="683">
        <v>9.2200000000000006</v>
      </c>
      <c r="AP11" s="551">
        <f t="shared" si="74"/>
        <v>8</v>
      </c>
      <c r="AQ11" s="697">
        <f t="shared" si="6"/>
        <v>8</v>
      </c>
      <c r="AR11" s="660" t="s">
        <v>397</v>
      </c>
      <c r="AS11" s="660">
        <f t="shared" si="7"/>
        <v>9.2200000000000006</v>
      </c>
      <c r="AT11" s="698">
        <f t="shared" si="75"/>
        <v>24199719</v>
      </c>
      <c r="AU11" s="698">
        <f t="shared" si="115"/>
        <v>61978.169216666669</v>
      </c>
      <c r="AV11" s="699">
        <f t="shared" si="8"/>
        <v>64017.752344273336</v>
      </c>
      <c r="AW11" s="700">
        <f t="shared" si="9"/>
        <v>21.592508896755891</v>
      </c>
      <c r="AX11" s="671">
        <f t="shared" si="125"/>
        <v>1382303.8870440372</v>
      </c>
      <c r="AY11" s="465">
        <f t="shared" si="76"/>
        <v>3.3035585642479937E-2</v>
      </c>
      <c r="AZ11" s="553">
        <f t="shared" si="10"/>
        <v>5.7120660000000001</v>
      </c>
      <c r="BK11" s="222">
        <f t="shared" si="116"/>
        <v>8</v>
      </c>
      <c r="BL11" s="663">
        <f t="shared" si="11"/>
        <v>8</v>
      </c>
      <c r="BM11" s="660" t="s">
        <v>397</v>
      </c>
      <c r="BN11" s="662">
        <f t="shared" si="77"/>
        <v>3.3035585642479937E-2</v>
      </c>
      <c r="BO11" s="671">
        <f t="shared" si="78"/>
        <v>316702.67464566836</v>
      </c>
      <c r="BP11" s="662">
        <f t="shared" si="79"/>
        <v>1.1087958182678515E-2</v>
      </c>
      <c r="BQ11" s="671">
        <f t="shared" si="80"/>
        <v>106297.07161292509</v>
      </c>
      <c r="BR11" s="710">
        <f t="shared" si="12"/>
        <v>422999.74625859346</v>
      </c>
      <c r="BS11" s="711">
        <f t="shared" si="13"/>
        <v>1.7479530000000001</v>
      </c>
      <c r="BV11" s="15"/>
      <c r="BW11" s="190"/>
      <c r="BX11" s="190"/>
      <c r="BY11" s="190"/>
      <c r="BZ11" s="190"/>
      <c r="CA11" s="190"/>
      <c r="CB11" s="190"/>
      <c r="CC11" s="190"/>
      <c r="CD11" s="190"/>
      <c r="CH11" s="222">
        <f t="shared" si="117"/>
        <v>8</v>
      </c>
      <c r="CI11" s="681">
        <f t="shared" si="15"/>
        <v>8</v>
      </c>
      <c r="CJ11" s="660" t="s">
        <v>397</v>
      </c>
      <c r="CK11" s="723">
        <f t="shared" si="16"/>
        <v>1.1087958182678515E-2</v>
      </c>
      <c r="CL11" s="650">
        <f t="shared" si="17"/>
        <v>64994.714435869326</v>
      </c>
      <c r="CM11" s="723">
        <f t="shared" si="18"/>
        <v>3.8262670032422584E-2</v>
      </c>
      <c r="CN11" s="650">
        <f t="shared" si="19"/>
        <v>735101.57304807659</v>
      </c>
      <c r="CO11" s="650">
        <f t="shared" si="20"/>
        <v>800096.28748394595</v>
      </c>
      <c r="CP11" s="723">
        <f t="shared" si="21"/>
        <v>3.1909760173761736E-2</v>
      </c>
      <c r="CQ11" s="724">
        <f t="shared" si="22"/>
        <v>3.3062209999999999</v>
      </c>
      <c r="DB11" s="198"/>
      <c r="DC11" s="198"/>
      <c r="DD11" s="15"/>
      <c r="DG11" s="551">
        <f t="shared" si="118"/>
        <v>8</v>
      </c>
      <c r="DH11" s="677">
        <f t="shared" si="23"/>
        <v>8</v>
      </c>
      <c r="DI11" s="660" t="s">
        <v>397</v>
      </c>
      <c r="DJ11" s="723">
        <f t="shared" si="24"/>
        <v>3.1909760173761736E-2</v>
      </c>
      <c r="DK11" s="650">
        <f t="shared" si="82"/>
        <v>12020.238639054889</v>
      </c>
      <c r="DL11" s="723">
        <f t="shared" si="25"/>
        <v>3.8262670032422584E-2</v>
      </c>
      <c r="DM11" s="650">
        <f t="shared" si="26"/>
        <v>93672.20118877088</v>
      </c>
      <c r="DN11" s="723">
        <f t="shared" si="27"/>
        <v>1.1087958182678515E-2</v>
      </c>
      <c r="DO11" s="650">
        <f t="shared" si="83"/>
        <v>39349.655778398992</v>
      </c>
      <c r="DP11" s="650">
        <f t="shared" si="84"/>
        <v>145042.09560622476</v>
      </c>
      <c r="DQ11" s="723">
        <f t="shared" si="28"/>
        <v>2.2756362283282986E-2</v>
      </c>
      <c r="DR11" s="724">
        <f t="shared" si="29"/>
        <v>0.59935400000000005</v>
      </c>
      <c r="DV11" s="551">
        <f t="shared" si="119"/>
        <v>8</v>
      </c>
      <c r="DW11" s="677">
        <f t="shared" si="30"/>
        <v>8</v>
      </c>
      <c r="DX11" s="660" t="s">
        <v>397</v>
      </c>
      <c r="DY11" s="723">
        <f t="shared" si="31"/>
        <v>3.8262670032422584E-2</v>
      </c>
      <c r="DZ11" s="650">
        <f t="shared" si="32"/>
        <v>153441.26998630399</v>
      </c>
      <c r="EA11" s="724">
        <f t="shared" si="33"/>
        <v>0.63406200000000001</v>
      </c>
      <c r="EG11" s="16"/>
      <c r="EH11" s="16"/>
      <c r="EI11" s="16"/>
      <c r="EM11" s="551">
        <f t="shared" si="120"/>
        <v>8</v>
      </c>
      <c r="EN11" s="677">
        <f t="shared" si="34"/>
        <v>8</v>
      </c>
      <c r="EO11" s="660" t="s">
        <v>397</v>
      </c>
      <c r="EP11" s="723">
        <f t="shared" si="35"/>
        <v>3.0100189606545067E-2</v>
      </c>
      <c r="EQ11" s="650">
        <f t="shared" si="36"/>
        <v>235337.37306747746</v>
      </c>
      <c r="ER11" s="723">
        <f t="shared" si="37"/>
        <v>3.1909760173761736E-2</v>
      </c>
      <c r="ES11" s="650">
        <f t="shared" si="38"/>
        <v>32204.391679161123</v>
      </c>
      <c r="ET11" s="723">
        <f t="shared" si="39"/>
        <v>1.1087958182678515E-2</v>
      </c>
      <c r="EU11" s="650">
        <f t="shared" si="40"/>
        <v>47371.093501345866</v>
      </c>
      <c r="EV11" s="650">
        <f t="shared" si="41"/>
        <v>314912.85824798443</v>
      </c>
      <c r="EW11" s="723">
        <f t="shared" si="42"/>
        <v>2.403914530116304E-2</v>
      </c>
      <c r="EX11" s="724">
        <f t="shared" si="43"/>
        <v>1.3013079999999999</v>
      </c>
      <c r="FH11" s="551">
        <f t="shared" si="121"/>
        <v>8</v>
      </c>
      <c r="FI11" s="670">
        <f t="shared" si="44"/>
        <v>8</v>
      </c>
      <c r="FJ11" s="660" t="s">
        <v>397</v>
      </c>
      <c r="FK11" s="723">
        <f t="shared" si="45"/>
        <v>3.0100189606545067E-2</v>
      </c>
      <c r="FL11" s="650">
        <f t="shared" si="46"/>
        <v>590737.7410133119</v>
      </c>
      <c r="FM11" s="724">
        <f t="shared" si="47"/>
        <v>2.441093</v>
      </c>
      <c r="FQ11" s="222">
        <v>8</v>
      </c>
      <c r="FR11" s="670">
        <v>8</v>
      </c>
      <c r="FS11" s="660" t="s">
        <v>397</v>
      </c>
      <c r="FT11" s="650">
        <f t="shared" si="48"/>
        <v>1382303.8870440372</v>
      </c>
      <c r="FU11" s="650">
        <f t="shared" si="49"/>
        <v>422999.74625859346</v>
      </c>
      <c r="FV11" s="650">
        <f t="shared" si="50"/>
        <v>800096.28748394595</v>
      </c>
      <c r="FW11" s="650">
        <f t="shared" si="86"/>
        <v>145042.09560622476</v>
      </c>
      <c r="FX11" s="650">
        <f t="shared" si="51"/>
        <v>153441.26998630399</v>
      </c>
      <c r="FY11" s="650">
        <f t="shared" si="52"/>
        <v>314912.85824798443</v>
      </c>
      <c r="FZ11" s="650">
        <f t="shared" si="53"/>
        <v>590737.7410133119</v>
      </c>
      <c r="GA11" s="650">
        <f t="shared" si="54"/>
        <v>3809533.8856404014</v>
      </c>
      <c r="GB11" s="747">
        <f t="shared" si="55"/>
        <v>15.742058</v>
      </c>
      <c r="GF11" s="551">
        <f t="shared" si="87"/>
        <v>8</v>
      </c>
      <c r="GG11" s="670">
        <f t="shared" si="56"/>
        <v>8</v>
      </c>
      <c r="GH11" s="660" t="s">
        <v>397</v>
      </c>
      <c r="GI11" s="724">
        <f t="shared" si="57"/>
        <v>5.7120660000000001</v>
      </c>
      <c r="GJ11" s="724">
        <f t="shared" si="58"/>
        <v>1.7479530000000001</v>
      </c>
      <c r="GK11" s="724">
        <f t="shared" si="59"/>
        <v>3.3062209999999999</v>
      </c>
      <c r="GL11" s="724">
        <f t="shared" si="60"/>
        <v>0.59935400000000005</v>
      </c>
      <c r="GM11" s="724">
        <f t="shared" si="61"/>
        <v>0.63406200000000001</v>
      </c>
      <c r="GN11" s="724">
        <f t="shared" si="62"/>
        <v>1.3013079999999999</v>
      </c>
      <c r="GO11" s="724">
        <f t="shared" si="63"/>
        <v>2.441093</v>
      </c>
      <c r="GP11" s="724">
        <f t="shared" si="64"/>
        <v>15.742058</v>
      </c>
      <c r="GQ11" s="661">
        <f t="shared" si="88"/>
        <v>24199719</v>
      </c>
      <c r="GR11" s="530"/>
      <c r="GU11" s="222">
        <f t="shared" si="89"/>
        <v>8</v>
      </c>
      <c r="GV11" s="670">
        <f t="shared" si="65"/>
        <v>8</v>
      </c>
      <c r="GW11" s="660" t="s">
        <v>397</v>
      </c>
      <c r="GX11" s="663" t="s">
        <v>379</v>
      </c>
      <c r="GY11" s="671">
        <f t="shared" si="90"/>
        <v>3809533.8856404014</v>
      </c>
      <c r="GZ11" s="661">
        <f t="shared" si="66"/>
        <v>24199719</v>
      </c>
      <c r="HA11" s="724">
        <f t="shared" si="91"/>
        <v>15.742058</v>
      </c>
      <c r="HB11" s="650">
        <f t="shared" si="67"/>
        <v>3809533.8008170198</v>
      </c>
      <c r="HC11" s="750">
        <f t="shared" si="68"/>
        <v>-8.4823381621390581E-2</v>
      </c>
      <c r="HD11" s="549"/>
      <c r="HG11" s="549"/>
      <c r="HH11" s="549"/>
      <c r="HI11" s="549"/>
      <c r="HJ11" s="549"/>
      <c r="HK11" s="549"/>
      <c r="HL11" s="549"/>
      <c r="HM11" s="549"/>
      <c r="HP11" s="551">
        <f t="shared" si="122"/>
        <v>8</v>
      </c>
      <c r="HQ11" s="762">
        <f t="shared" si="69"/>
        <v>8</v>
      </c>
      <c r="HR11" s="660" t="s">
        <v>397</v>
      </c>
      <c r="HS11" s="661">
        <f t="shared" si="92"/>
        <v>24199719</v>
      </c>
      <c r="HT11" s="757">
        <f t="shared" si="93"/>
        <v>15.742058</v>
      </c>
      <c r="HU11" s="757">
        <v>13.854915</v>
      </c>
      <c r="HV11" s="651">
        <f t="shared" si="94"/>
        <v>0.13620747583077919</v>
      </c>
      <c r="HW11" s="757">
        <f t="shared" si="95"/>
        <v>1.887143</v>
      </c>
      <c r="HX11" s="652">
        <v>25</v>
      </c>
      <c r="IO11" s="551">
        <v>8</v>
      </c>
      <c r="IP11" s="762">
        <v>8</v>
      </c>
      <c r="IQ11" s="660" t="s">
        <v>397</v>
      </c>
      <c r="IR11" s="772">
        <f t="shared" si="96"/>
        <v>3809533.8856404014</v>
      </c>
      <c r="IS11" s="773">
        <f t="shared" si="96"/>
        <v>24199719</v>
      </c>
      <c r="IT11" s="774">
        <f t="shared" si="96"/>
        <v>15.742058</v>
      </c>
      <c r="IU11" s="661">
        <f t="shared" si="97"/>
        <v>3561739.4376542121</v>
      </c>
      <c r="IV11" s="661">
        <f t="shared" si="98"/>
        <v>20637979.562345788</v>
      </c>
      <c r="IW11" s="772">
        <f t="shared" si="123"/>
        <v>53426.091564813178</v>
      </c>
      <c r="IX11" s="772">
        <f t="shared" si="99"/>
        <v>3756107.7940755882</v>
      </c>
      <c r="IY11" s="455">
        <f t="shared" si="100"/>
        <v>15.521286813601382</v>
      </c>
      <c r="IZ11" s="555">
        <f t="shared" si="101"/>
        <v>17.021286813601382</v>
      </c>
      <c r="JA11" s="772">
        <f t="shared" si="102"/>
        <v>3809533.8856404014</v>
      </c>
      <c r="JB11" s="778">
        <f t="shared" si="103"/>
        <v>0.22077118639861837</v>
      </c>
      <c r="JF11" s="551">
        <f t="shared" si="124"/>
        <v>8</v>
      </c>
      <c r="JG11" s="762">
        <f t="shared" si="70"/>
        <v>8</v>
      </c>
      <c r="JH11" s="660" t="s">
        <v>397</v>
      </c>
      <c r="JI11" s="661">
        <f t="shared" si="104"/>
        <v>24199719</v>
      </c>
      <c r="JJ11" s="757">
        <f t="shared" si="105"/>
        <v>15.521286813601382</v>
      </c>
      <c r="JK11" s="757">
        <v>13.632681649993463</v>
      </c>
      <c r="JL11" s="651">
        <f t="shared" si="126"/>
        <v>0.13853511818849107</v>
      </c>
      <c r="JM11" s="757">
        <f t="shared" si="107"/>
        <v>1.8886051636079184</v>
      </c>
      <c r="JN11" s="652">
        <v>25</v>
      </c>
      <c r="JS11" s="757">
        <v>15.521286813601382</v>
      </c>
      <c r="JT11" s="757">
        <f t="shared" si="108"/>
        <v>0</v>
      </c>
      <c r="JU11" s="1010">
        <v>24199719</v>
      </c>
      <c r="JV11" s="1010">
        <f t="shared" si="109"/>
        <v>0</v>
      </c>
      <c r="JW11" s="1069">
        <f t="shared" si="110"/>
        <v>0</v>
      </c>
      <c r="JX11" s="997">
        <v>3756107.7940755878</v>
      </c>
      <c r="JY11" s="997">
        <f t="shared" si="111"/>
        <v>3756107.7940755878</v>
      </c>
      <c r="JZ11" s="516"/>
      <c r="KA11" s="516"/>
      <c r="KB11" s="516"/>
      <c r="KC11" s="516"/>
      <c r="KE11" s="516"/>
      <c r="KF11" s="516"/>
    </row>
    <row r="12" spans="1:292" ht="16.5" x14ac:dyDescent="0.3">
      <c r="A12" s="543">
        <v>9</v>
      </c>
      <c r="B12" s="645" t="s">
        <v>383</v>
      </c>
      <c r="C12" s="646">
        <f>-'Actuals Phase I Schedules'!MC10</f>
        <v>-334355.1237527568</v>
      </c>
      <c r="D12" s="647">
        <f t="shared" si="0"/>
        <v>-2.5886280861307869E-3</v>
      </c>
      <c r="E12" s="986">
        <v>-1.5283646938919929E-2</v>
      </c>
      <c r="I12" s="543">
        <f t="shared" si="112"/>
        <v>9</v>
      </c>
      <c r="J12" s="654">
        <f t="shared" si="1"/>
        <v>9</v>
      </c>
      <c r="K12" s="655" t="s">
        <v>398</v>
      </c>
      <c r="L12" s="991">
        <v>119687775</v>
      </c>
      <c r="M12" s="657">
        <f t="shared" si="2"/>
        <v>5.4839192313672527E-2</v>
      </c>
      <c r="N12" s="656">
        <v>855</v>
      </c>
      <c r="O12" s="656">
        <f t="shared" si="71"/>
        <v>139985.70175438595</v>
      </c>
      <c r="P12" s="657">
        <f t="shared" si="3"/>
        <v>7.9016328141174402E-2</v>
      </c>
      <c r="Q12" s="658" t="s">
        <v>379</v>
      </c>
      <c r="U12" s="545">
        <f t="shared" si="113"/>
        <v>9</v>
      </c>
      <c r="V12" s="669">
        <f t="shared" si="4"/>
        <v>9</v>
      </c>
      <c r="W12" s="655" t="s">
        <v>398</v>
      </c>
      <c r="X12" s="646">
        <f t="shared" si="72"/>
        <v>8438545.2686981242</v>
      </c>
      <c r="Y12" s="657">
        <f t="shared" si="5"/>
        <v>8.7469704372294496E-2</v>
      </c>
      <c r="AC12" s="545">
        <f t="shared" si="114"/>
        <v>9</v>
      </c>
      <c r="AD12" s="678">
        <v>9</v>
      </c>
      <c r="AE12" s="679" t="s">
        <v>398</v>
      </c>
      <c r="AF12" s="680">
        <v>5.86</v>
      </c>
      <c r="AP12" s="545">
        <f t="shared" si="74"/>
        <v>9</v>
      </c>
      <c r="AQ12" s="693">
        <f t="shared" si="6"/>
        <v>9</v>
      </c>
      <c r="AR12" s="655" t="s">
        <v>398</v>
      </c>
      <c r="AS12" s="655">
        <f t="shared" si="7"/>
        <v>5.86</v>
      </c>
      <c r="AT12" s="694">
        <f t="shared" si="75"/>
        <v>119687775</v>
      </c>
      <c r="AU12" s="694">
        <f t="shared" si="115"/>
        <v>194825.10041666665</v>
      </c>
      <c r="AV12" s="695">
        <f>AU12*$AL$5/$AU$28</f>
        <v>201236.42222023569</v>
      </c>
      <c r="AW12" s="696">
        <f t="shared" si="9"/>
        <v>21.592508896755891</v>
      </c>
      <c r="AX12" s="646">
        <f t="shared" si="125"/>
        <v>4345199.2371417638</v>
      </c>
      <c r="AY12" s="544">
        <f t="shared" si="76"/>
        <v>0.10384561808561431</v>
      </c>
      <c r="AZ12" s="548">
        <f t="shared" si="10"/>
        <v>3.6304449999999999</v>
      </c>
      <c r="BK12" s="543">
        <f t="shared" si="116"/>
        <v>9</v>
      </c>
      <c r="BL12" s="658">
        <f t="shared" si="11"/>
        <v>9</v>
      </c>
      <c r="BM12" s="655" t="s">
        <v>398</v>
      </c>
      <c r="BN12" s="657">
        <f t="shared" si="77"/>
        <v>0.10384561808561431</v>
      </c>
      <c r="BO12" s="646">
        <f t="shared" si="78"/>
        <v>995538.12527713284</v>
      </c>
      <c r="BP12" s="657">
        <f t="shared" si="79"/>
        <v>5.4839192313672527E-2</v>
      </c>
      <c r="BQ12" s="646">
        <f t="shared" si="80"/>
        <v>525727.59172809683</v>
      </c>
      <c r="BR12" s="708">
        <f t="shared" si="12"/>
        <v>1521265.7170052296</v>
      </c>
      <c r="BS12" s="709">
        <f t="shared" si="13"/>
        <v>1.271028</v>
      </c>
      <c r="BV12" s="15"/>
      <c r="BW12" s="190"/>
      <c r="BX12" s="190"/>
      <c r="BY12" s="190"/>
      <c r="BZ12" s="190"/>
      <c r="CA12" s="190"/>
      <c r="CB12" s="190"/>
      <c r="CC12" s="190"/>
      <c r="CD12" s="190"/>
      <c r="CH12" s="543">
        <f t="shared" si="117"/>
        <v>9</v>
      </c>
      <c r="CI12" s="678">
        <f t="shared" si="15"/>
        <v>9</v>
      </c>
      <c r="CJ12" s="655" t="s">
        <v>398</v>
      </c>
      <c r="CK12" s="657">
        <f t="shared" si="16"/>
        <v>5.4839192313672527E-2</v>
      </c>
      <c r="CL12" s="646">
        <f t="shared" si="17"/>
        <v>321453.0200780257</v>
      </c>
      <c r="CM12" s="657">
        <f t="shared" si="18"/>
        <v>7.9016328141174402E-2</v>
      </c>
      <c r="CN12" s="646">
        <f t="shared" si="19"/>
        <v>1518059.9540973194</v>
      </c>
      <c r="CO12" s="646">
        <f t="shared" si="20"/>
        <v>1839512.9741753452</v>
      </c>
      <c r="CP12" s="657">
        <f t="shared" si="21"/>
        <v>7.3364192236220344E-2</v>
      </c>
      <c r="CQ12" s="709">
        <f t="shared" si="22"/>
        <v>1.536926</v>
      </c>
      <c r="DB12" s="198"/>
      <c r="DC12" s="198"/>
      <c r="DD12" s="15"/>
      <c r="DG12" s="545">
        <f t="shared" si="118"/>
        <v>9</v>
      </c>
      <c r="DH12" s="739">
        <f t="shared" si="23"/>
        <v>9</v>
      </c>
      <c r="DI12" s="655" t="s">
        <v>398</v>
      </c>
      <c r="DJ12" s="657">
        <f t="shared" si="24"/>
        <v>7.3364192236220344E-2</v>
      </c>
      <c r="DK12" s="646">
        <f t="shared" si="82"/>
        <v>27635.904921842208</v>
      </c>
      <c r="DL12" s="657">
        <f t="shared" si="25"/>
        <v>7.9016328141174402E-2</v>
      </c>
      <c r="DM12" s="646">
        <f t="shared" si="26"/>
        <v>193442.67874056136</v>
      </c>
      <c r="DN12" s="657">
        <f t="shared" si="27"/>
        <v>5.4839192313672527E-2</v>
      </c>
      <c r="DO12" s="646">
        <f t="shared" si="83"/>
        <v>194616.83613485217</v>
      </c>
      <c r="DP12" s="646">
        <f t="shared" si="84"/>
        <v>415695.41979725577</v>
      </c>
      <c r="DQ12" s="657">
        <f t="shared" si="28"/>
        <v>6.5220483287072542E-2</v>
      </c>
      <c r="DR12" s="709">
        <f t="shared" si="29"/>
        <v>0.34731699999999999</v>
      </c>
      <c r="DV12" s="545">
        <f t="shared" si="119"/>
        <v>9</v>
      </c>
      <c r="DW12" s="739">
        <f t="shared" si="30"/>
        <v>9</v>
      </c>
      <c r="DX12" s="655" t="s">
        <v>398</v>
      </c>
      <c r="DY12" s="657">
        <f t="shared" si="31"/>
        <v>7.9016328141174402E-2</v>
      </c>
      <c r="DZ12" s="646">
        <f t="shared" si="32"/>
        <v>316871.92057853058</v>
      </c>
      <c r="EA12" s="709">
        <f t="shared" si="33"/>
        <v>0.26474900000000001</v>
      </c>
      <c r="EM12" s="545">
        <f t="shared" si="120"/>
        <v>9</v>
      </c>
      <c r="EN12" s="739">
        <f t="shared" si="34"/>
        <v>9</v>
      </c>
      <c r="EO12" s="655" t="s">
        <v>398</v>
      </c>
      <c r="EP12" s="657">
        <f t="shared" si="35"/>
        <v>8.7469704372294496E-2</v>
      </c>
      <c r="EQ12" s="646">
        <f t="shared" si="36"/>
        <v>683879.09574790846</v>
      </c>
      <c r="ER12" s="657">
        <f t="shared" si="37"/>
        <v>7.3364192236220344E-2</v>
      </c>
      <c r="ES12" s="646">
        <f t="shared" si="38"/>
        <v>74041.583801787201</v>
      </c>
      <c r="ET12" s="657">
        <f t="shared" si="39"/>
        <v>5.4839192313672527E-2</v>
      </c>
      <c r="EU12" s="646">
        <f t="shared" si="40"/>
        <v>234289.52958061398</v>
      </c>
      <c r="EV12" s="646">
        <f t="shared" si="41"/>
        <v>992210.20913030964</v>
      </c>
      <c r="EW12" s="657">
        <f t="shared" si="42"/>
        <v>7.5741224157313491E-2</v>
      </c>
      <c r="EX12" s="709">
        <f t="shared" si="43"/>
        <v>0.82899900000000004</v>
      </c>
      <c r="FH12" s="545">
        <f t="shared" si="121"/>
        <v>9</v>
      </c>
      <c r="FI12" s="669">
        <f t="shared" si="44"/>
        <v>9</v>
      </c>
      <c r="FJ12" s="655" t="s">
        <v>398</v>
      </c>
      <c r="FK12" s="657">
        <f t="shared" si="45"/>
        <v>8.7469704372294496E-2</v>
      </c>
      <c r="FL12" s="646">
        <f t="shared" si="46"/>
        <v>1716655.4843480398</v>
      </c>
      <c r="FM12" s="709">
        <f t="shared" si="47"/>
        <v>1.4342779999999999</v>
      </c>
      <c r="FQ12" s="543">
        <v>9</v>
      </c>
      <c r="FR12" s="669">
        <v>9</v>
      </c>
      <c r="FS12" s="655" t="s">
        <v>398</v>
      </c>
      <c r="FT12" s="646">
        <f t="shared" si="48"/>
        <v>4345199.2371417638</v>
      </c>
      <c r="FU12" s="646">
        <f t="shared" si="49"/>
        <v>1521265.7170052296</v>
      </c>
      <c r="FV12" s="646">
        <f t="shared" si="50"/>
        <v>1839512.9741753452</v>
      </c>
      <c r="FW12" s="646">
        <f t="shared" si="86"/>
        <v>415695.41979725577</v>
      </c>
      <c r="FX12" s="646">
        <f t="shared" si="51"/>
        <v>316871.92057853058</v>
      </c>
      <c r="FY12" s="646">
        <f t="shared" si="52"/>
        <v>992210.20913030964</v>
      </c>
      <c r="FZ12" s="646">
        <f t="shared" si="53"/>
        <v>1716655.4843480398</v>
      </c>
      <c r="GA12" s="646">
        <f t="shared" si="54"/>
        <v>11147410.962176474</v>
      </c>
      <c r="GB12" s="746">
        <f t="shared" si="55"/>
        <v>9.3137419999999995</v>
      </c>
      <c r="GF12" s="545">
        <f t="shared" si="87"/>
        <v>9</v>
      </c>
      <c r="GG12" s="669">
        <f t="shared" si="56"/>
        <v>9</v>
      </c>
      <c r="GH12" s="655" t="s">
        <v>398</v>
      </c>
      <c r="GI12" s="709">
        <f t="shared" si="57"/>
        <v>3.6304449999999999</v>
      </c>
      <c r="GJ12" s="709">
        <f t="shared" si="58"/>
        <v>1.271028</v>
      </c>
      <c r="GK12" s="709">
        <f t="shared" si="59"/>
        <v>1.536926</v>
      </c>
      <c r="GL12" s="709">
        <f t="shared" si="60"/>
        <v>0.34731699999999999</v>
      </c>
      <c r="GM12" s="709">
        <f t="shared" si="61"/>
        <v>0.26474900000000001</v>
      </c>
      <c r="GN12" s="709">
        <f t="shared" si="62"/>
        <v>0.82899900000000004</v>
      </c>
      <c r="GO12" s="709">
        <f t="shared" si="63"/>
        <v>1.4342779999999999</v>
      </c>
      <c r="GP12" s="709">
        <f t="shared" si="64"/>
        <v>9.3137419999999995</v>
      </c>
      <c r="GQ12" s="656">
        <f t="shared" si="88"/>
        <v>119687775</v>
      </c>
      <c r="GR12" s="530"/>
      <c r="GU12" s="543">
        <f t="shared" si="89"/>
        <v>9</v>
      </c>
      <c r="GV12" s="669">
        <f t="shared" si="65"/>
        <v>9</v>
      </c>
      <c r="GW12" s="655" t="s">
        <v>398</v>
      </c>
      <c r="GX12" s="658" t="s">
        <v>379</v>
      </c>
      <c r="GY12" s="646">
        <f t="shared" si="90"/>
        <v>11147410.962176474</v>
      </c>
      <c r="GZ12" s="656">
        <f t="shared" si="66"/>
        <v>119687775</v>
      </c>
      <c r="HA12" s="709">
        <f t="shared" si="91"/>
        <v>9.3137419999999995</v>
      </c>
      <c r="HB12" s="646">
        <f t="shared" si="67"/>
        <v>11147410.5690405</v>
      </c>
      <c r="HC12" s="749">
        <f t="shared" si="68"/>
        <v>-0.39313597418367863</v>
      </c>
      <c r="HD12" s="549"/>
      <c r="HG12" s="549"/>
      <c r="HH12" s="549"/>
      <c r="HI12" s="549"/>
      <c r="HJ12" s="549"/>
      <c r="HK12" s="549"/>
      <c r="HL12" s="549"/>
      <c r="HM12" s="549"/>
      <c r="HP12" s="545">
        <f t="shared" si="122"/>
        <v>9</v>
      </c>
      <c r="HQ12" s="761">
        <f t="shared" si="69"/>
        <v>9</v>
      </c>
      <c r="HR12" s="655" t="s">
        <v>398</v>
      </c>
      <c r="HS12" s="656">
        <f t="shared" si="92"/>
        <v>119687775</v>
      </c>
      <c r="HT12" s="756">
        <f t="shared" si="93"/>
        <v>9.3137419999999995</v>
      </c>
      <c r="HU12" s="756">
        <v>8.1251270000000009</v>
      </c>
      <c r="HV12" s="647">
        <f t="shared" si="94"/>
        <v>0.14628879031675424</v>
      </c>
      <c r="HW12" s="756">
        <f t="shared" si="95"/>
        <v>1.1886149999999986</v>
      </c>
      <c r="HX12" s="648">
        <v>10</v>
      </c>
      <c r="IO12" s="545">
        <v>9</v>
      </c>
      <c r="IP12" s="761">
        <v>9</v>
      </c>
      <c r="IQ12" s="655" t="s">
        <v>398</v>
      </c>
      <c r="IR12" s="769">
        <f t="shared" si="96"/>
        <v>11147410.962176474</v>
      </c>
      <c r="IS12" s="770">
        <f t="shared" si="96"/>
        <v>119687775</v>
      </c>
      <c r="IT12" s="771">
        <f t="shared" si="96"/>
        <v>9.3137419999999995</v>
      </c>
      <c r="IU12" s="656">
        <f t="shared" si="97"/>
        <v>17615769.357593942</v>
      </c>
      <c r="IV12" s="656">
        <f t="shared" si="98"/>
        <v>102072005.64240606</v>
      </c>
      <c r="IW12" s="769">
        <f t="shared" si="123"/>
        <v>264236.54036390915</v>
      </c>
      <c r="IX12" s="769">
        <f t="shared" si="99"/>
        <v>10883174.421812564</v>
      </c>
      <c r="IY12" s="550">
        <f t="shared" si="100"/>
        <v>9.0929707915554143</v>
      </c>
      <c r="IZ12" s="550">
        <f t="shared" si="101"/>
        <v>10.592970791555414</v>
      </c>
      <c r="JA12" s="769">
        <f t="shared" si="102"/>
        <v>11147410.962176474</v>
      </c>
      <c r="JB12" s="746">
        <f t="shared" si="103"/>
        <v>0.2207712084445852</v>
      </c>
      <c r="JF12" s="545">
        <f t="shared" si="124"/>
        <v>9</v>
      </c>
      <c r="JG12" s="761">
        <f t="shared" si="70"/>
        <v>9</v>
      </c>
      <c r="JH12" s="655" t="s">
        <v>398</v>
      </c>
      <c r="JI12" s="656">
        <f t="shared" si="104"/>
        <v>119687775</v>
      </c>
      <c r="JJ12" s="756">
        <f t="shared" si="105"/>
        <v>9.0929707915554143</v>
      </c>
      <c r="JK12" s="756">
        <v>7.902894267014676</v>
      </c>
      <c r="JL12" s="647">
        <f t="shared" si="126"/>
        <v>0.15058742839416617</v>
      </c>
      <c r="JM12" s="756">
        <f t="shared" si="107"/>
        <v>1.1900765245407383</v>
      </c>
      <c r="JN12" s="648">
        <v>10</v>
      </c>
      <c r="JS12" s="756">
        <v>9.0929707915554143</v>
      </c>
      <c r="JT12" s="756">
        <f t="shared" si="108"/>
        <v>0</v>
      </c>
      <c r="JU12" s="1009">
        <v>119687775</v>
      </c>
      <c r="JV12" s="1009">
        <f t="shared" si="109"/>
        <v>0</v>
      </c>
      <c r="JW12" s="1069">
        <f t="shared" si="110"/>
        <v>0</v>
      </c>
      <c r="JX12" s="997">
        <v>10883174.421812562</v>
      </c>
      <c r="JY12" s="997">
        <f t="shared" si="111"/>
        <v>10883174.421812562</v>
      </c>
      <c r="JZ12" s="516"/>
      <c r="KA12" s="516"/>
      <c r="KB12" s="516"/>
      <c r="KC12" s="516"/>
      <c r="KE12" s="516"/>
      <c r="KF12" s="516"/>
    </row>
    <row r="13" spans="1:292" ht="20.25" customHeight="1" x14ac:dyDescent="0.3">
      <c r="A13" s="579">
        <v>10</v>
      </c>
      <c r="B13" s="786" t="s">
        <v>283</v>
      </c>
      <c r="C13" s="787">
        <f>SUM(C4:C12)</f>
        <v>129163059.59289664</v>
      </c>
      <c r="D13" s="788">
        <f>SUM(D4:D12)</f>
        <v>1.0000000000000002</v>
      </c>
      <c r="E13" s="789">
        <f>SUM(E4:E12)</f>
        <v>5.9055510012352554</v>
      </c>
      <c r="I13" s="222">
        <f t="shared" si="112"/>
        <v>10</v>
      </c>
      <c r="J13" s="659">
        <f t="shared" si="1"/>
        <v>10</v>
      </c>
      <c r="K13" s="660" t="s">
        <v>399</v>
      </c>
      <c r="L13" s="991">
        <v>4853908</v>
      </c>
      <c r="M13" s="662">
        <f t="shared" si="2"/>
        <v>2.2239898292442449E-3</v>
      </c>
      <c r="N13" s="661">
        <v>351</v>
      </c>
      <c r="O13" s="661">
        <f t="shared" si="71"/>
        <v>13828.79772079772</v>
      </c>
      <c r="P13" s="662">
        <f t="shared" si="3"/>
        <v>7.8058030556698724E-3</v>
      </c>
      <c r="Q13" s="663" t="s">
        <v>379</v>
      </c>
      <c r="U13" s="551">
        <f t="shared" si="113"/>
        <v>10</v>
      </c>
      <c r="V13" s="670">
        <f t="shared" si="4"/>
        <v>10</v>
      </c>
      <c r="W13" s="660" t="s">
        <v>399</v>
      </c>
      <c r="X13" s="671">
        <f t="shared" si="72"/>
        <v>683435.27593903698</v>
      </c>
      <c r="Y13" s="662">
        <f t="shared" si="5"/>
        <v>7.0841453876809932E-3</v>
      </c>
      <c r="AC13" s="551">
        <f t="shared" si="114"/>
        <v>10</v>
      </c>
      <c r="AD13" s="681">
        <v>10</v>
      </c>
      <c r="AE13" s="682" t="s">
        <v>399</v>
      </c>
      <c r="AF13" s="683">
        <v>11.86</v>
      </c>
      <c r="AP13" s="551">
        <f t="shared" si="74"/>
        <v>10</v>
      </c>
      <c r="AQ13" s="697">
        <f t="shared" si="6"/>
        <v>10</v>
      </c>
      <c r="AR13" s="660" t="s">
        <v>399</v>
      </c>
      <c r="AS13" s="660">
        <f t="shared" si="7"/>
        <v>11.86</v>
      </c>
      <c r="AT13" s="698">
        <f t="shared" si="75"/>
        <v>4853908</v>
      </c>
      <c r="AU13" s="698">
        <f t="shared" si="115"/>
        <v>15990.930244444444</v>
      </c>
      <c r="AV13" s="699">
        <f t="shared" si="8"/>
        <v>16517.161205015211</v>
      </c>
      <c r="AW13" s="700">
        <f t="shared" si="9"/>
        <v>21.592508896755891</v>
      </c>
      <c r="AX13" s="671">
        <f t="shared" si="125"/>
        <v>356646.95026844222</v>
      </c>
      <c r="AY13" s="465">
        <f t="shared" si="76"/>
        <v>8.5234809654753264E-3</v>
      </c>
      <c r="AZ13" s="553">
        <f t="shared" si="10"/>
        <v>7.3476249999999999</v>
      </c>
      <c r="BK13" s="222">
        <f t="shared" si="116"/>
        <v>10</v>
      </c>
      <c r="BL13" s="663">
        <f t="shared" si="11"/>
        <v>10</v>
      </c>
      <c r="BM13" s="660" t="s">
        <v>399</v>
      </c>
      <c r="BN13" s="662">
        <f t="shared" si="77"/>
        <v>8.5234809654753264E-3</v>
      </c>
      <c r="BO13" s="671">
        <f t="shared" si="78"/>
        <v>81712.164823448809</v>
      </c>
      <c r="BP13" s="662">
        <f t="shared" si="79"/>
        <v>2.2239898292442449E-3</v>
      </c>
      <c r="BQ13" s="671">
        <f t="shared" si="80"/>
        <v>21320.751959084733</v>
      </c>
      <c r="BR13" s="710">
        <f t="shared" si="12"/>
        <v>103032.91678253355</v>
      </c>
      <c r="BS13" s="711">
        <f t="shared" si="13"/>
        <v>2.1226799999999999</v>
      </c>
      <c r="BV13" s="15"/>
      <c r="BW13" s="190"/>
      <c r="BX13" s="190"/>
      <c r="BY13" s="190"/>
      <c r="BZ13" s="190"/>
      <c r="CA13" s="190"/>
      <c r="CB13" s="190"/>
      <c r="CC13" s="190"/>
      <c r="CD13" s="190"/>
      <c r="CH13" s="222">
        <f t="shared" si="117"/>
        <v>10</v>
      </c>
      <c r="CI13" s="681">
        <f t="shared" si="15"/>
        <v>10</v>
      </c>
      <c r="CJ13" s="660" t="s">
        <v>399</v>
      </c>
      <c r="CK13" s="723">
        <f t="shared" si="16"/>
        <v>2.2239898292442449E-3</v>
      </c>
      <c r="CL13" s="650">
        <f t="shared" si="17"/>
        <v>13036.447421475499</v>
      </c>
      <c r="CM13" s="723">
        <f t="shared" si="18"/>
        <v>7.8058030556698724E-3</v>
      </c>
      <c r="CN13" s="650">
        <f t="shared" si="19"/>
        <v>149964.91620329049</v>
      </c>
      <c r="CO13" s="650">
        <f t="shared" si="20"/>
        <v>163001.36362476597</v>
      </c>
      <c r="CP13" s="723">
        <f t="shared" si="21"/>
        <v>6.5008855841826134E-3</v>
      </c>
      <c r="CQ13" s="724">
        <f t="shared" si="22"/>
        <v>3.3581470000000002</v>
      </c>
      <c r="DB13" s="198"/>
      <c r="DC13" s="198"/>
      <c r="DD13" s="15"/>
      <c r="DG13" s="551">
        <f t="shared" si="118"/>
        <v>10</v>
      </c>
      <c r="DH13" s="677">
        <f t="shared" si="23"/>
        <v>10</v>
      </c>
      <c r="DI13" s="660" t="s">
        <v>399</v>
      </c>
      <c r="DJ13" s="723">
        <f t="shared" si="24"/>
        <v>6.5008855841826134E-3</v>
      </c>
      <c r="DK13" s="650">
        <f t="shared" si="82"/>
        <v>2448.8493696458527</v>
      </c>
      <c r="DL13" s="723">
        <f t="shared" si="25"/>
        <v>7.8058030556698724E-3</v>
      </c>
      <c r="DM13" s="650">
        <f t="shared" si="26"/>
        <v>19109.663639548577</v>
      </c>
      <c r="DN13" s="723">
        <f t="shared" si="27"/>
        <v>2.2239898292442449E-3</v>
      </c>
      <c r="DO13" s="650">
        <f t="shared" si="83"/>
        <v>7892.6374715349839</v>
      </c>
      <c r="DP13" s="650">
        <f t="shared" si="84"/>
        <v>29451.150480729415</v>
      </c>
      <c r="DQ13" s="723">
        <f t="shared" si="28"/>
        <v>4.6207347404748859E-3</v>
      </c>
      <c r="DR13" s="724">
        <f t="shared" si="29"/>
        <v>0.60675100000000004</v>
      </c>
      <c r="DV13" s="551">
        <f t="shared" si="119"/>
        <v>10</v>
      </c>
      <c r="DW13" s="677">
        <f t="shared" si="30"/>
        <v>10</v>
      </c>
      <c r="DX13" s="660" t="s">
        <v>399</v>
      </c>
      <c r="DY13" s="723">
        <f t="shared" si="31"/>
        <v>7.8058030556698724E-3</v>
      </c>
      <c r="DZ13" s="650">
        <f t="shared" si="32"/>
        <v>31302.894782565796</v>
      </c>
      <c r="EA13" s="724">
        <f t="shared" si="33"/>
        <v>0.64490099999999995</v>
      </c>
      <c r="EM13" s="551">
        <f t="shared" si="120"/>
        <v>10</v>
      </c>
      <c r="EN13" s="677">
        <f t="shared" si="34"/>
        <v>10</v>
      </c>
      <c r="EO13" s="660" t="s">
        <v>399</v>
      </c>
      <c r="EP13" s="723">
        <f t="shared" si="35"/>
        <v>7.0841453876809932E-3</v>
      </c>
      <c r="EQ13" s="650">
        <f t="shared" si="36"/>
        <v>55387.164923453463</v>
      </c>
      <c r="ER13" s="723">
        <f t="shared" si="37"/>
        <v>6.5008855841826134E-3</v>
      </c>
      <c r="ES13" s="650">
        <f t="shared" si="38"/>
        <v>6560.9100311125476</v>
      </c>
      <c r="ET13" s="723">
        <f t="shared" si="39"/>
        <v>2.2239898292442449E-3</v>
      </c>
      <c r="EU13" s="650">
        <f t="shared" si="40"/>
        <v>9501.5537046083355</v>
      </c>
      <c r="EV13" s="650">
        <f t="shared" si="41"/>
        <v>71449.628659174341</v>
      </c>
      <c r="EW13" s="723">
        <f t="shared" si="42"/>
        <v>5.4541691774919075E-3</v>
      </c>
      <c r="EX13" s="724">
        <f t="shared" si="43"/>
        <v>1.472002</v>
      </c>
      <c r="FH13" s="551">
        <f t="shared" si="121"/>
        <v>10</v>
      </c>
      <c r="FI13" s="670">
        <f t="shared" si="44"/>
        <v>10</v>
      </c>
      <c r="FJ13" s="660" t="s">
        <v>399</v>
      </c>
      <c r="FK13" s="723">
        <f t="shared" si="45"/>
        <v>7.0841453876809932E-3</v>
      </c>
      <c r="FL13" s="650">
        <f t="shared" si="46"/>
        <v>139031.41800869495</v>
      </c>
      <c r="FM13" s="724">
        <f t="shared" si="47"/>
        <v>2.8643190000000001</v>
      </c>
      <c r="FQ13" s="222">
        <f t="shared" si="85"/>
        <v>10</v>
      </c>
      <c r="FR13" s="670">
        <v>10</v>
      </c>
      <c r="FS13" s="660" t="s">
        <v>399</v>
      </c>
      <c r="FT13" s="650">
        <f t="shared" si="48"/>
        <v>356646.95026844222</v>
      </c>
      <c r="FU13" s="650">
        <f t="shared" si="49"/>
        <v>103032.91678253355</v>
      </c>
      <c r="FV13" s="650">
        <f t="shared" si="50"/>
        <v>163001.36362476597</v>
      </c>
      <c r="FW13" s="650">
        <f t="shared" si="86"/>
        <v>29451.150480729415</v>
      </c>
      <c r="FX13" s="650">
        <f t="shared" si="51"/>
        <v>31302.894782565796</v>
      </c>
      <c r="FY13" s="650">
        <f t="shared" si="52"/>
        <v>71449.628659174341</v>
      </c>
      <c r="FZ13" s="650">
        <f t="shared" si="53"/>
        <v>139031.41800869495</v>
      </c>
      <c r="GA13" s="650">
        <f t="shared" si="54"/>
        <v>893916.32260690629</v>
      </c>
      <c r="GB13" s="747">
        <f t="shared" si="55"/>
        <v>18.416425</v>
      </c>
      <c r="GF13" s="551">
        <f t="shared" si="87"/>
        <v>10</v>
      </c>
      <c r="GG13" s="670">
        <f t="shared" si="56"/>
        <v>10</v>
      </c>
      <c r="GH13" s="660" t="s">
        <v>399</v>
      </c>
      <c r="GI13" s="724">
        <f t="shared" si="57"/>
        <v>7.3476249999999999</v>
      </c>
      <c r="GJ13" s="724">
        <f t="shared" si="58"/>
        <v>2.1226799999999999</v>
      </c>
      <c r="GK13" s="724">
        <f t="shared" si="59"/>
        <v>3.3581470000000002</v>
      </c>
      <c r="GL13" s="724">
        <f t="shared" si="60"/>
        <v>0.60675100000000004</v>
      </c>
      <c r="GM13" s="724">
        <f t="shared" si="61"/>
        <v>0.64490099999999995</v>
      </c>
      <c r="GN13" s="724">
        <f t="shared" si="62"/>
        <v>1.472002</v>
      </c>
      <c r="GO13" s="724">
        <f t="shared" si="63"/>
        <v>2.8643190000000001</v>
      </c>
      <c r="GP13" s="724">
        <f t="shared" si="64"/>
        <v>18.416425</v>
      </c>
      <c r="GQ13" s="661">
        <f t="shared" si="88"/>
        <v>4853908</v>
      </c>
      <c r="GR13" s="530"/>
      <c r="GU13" s="222">
        <f t="shared" si="89"/>
        <v>10</v>
      </c>
      <c r="GV13" s="670">
        <f t="shared" si="65"/>
        <v>10</v>
      </c>
      <c r="GW13" s="660" t="s">
        <v>399</v>
      </c>
      <c r="GX13" s="663" t="s">
        <v>379</v>
      </c>
      <c r="GY13" s="671">
        <f t="shared" si="90"/>
        <v>893916.32260690629</v>
      </c>
      <c r="GZ13" s="661">
        <f t="shared" si="66"/>
        <v>4853908</v>
      </c>
      <c r="HA13" s="724">
        <f t="shared" si="91"/>
        <v>18.416425</v>
      </c>
      <c r="HB13" s="650">
        <f t="shared" si="67"/>
        <v>893916.32638899994</v>
      </c>
      <c r="HC13" s="750">
        <f t="shared" si="68"/>
        <v>3.7820936413481832E-3</v>
      </c>
      <c r="HD13" s="549"/>
      <c r="HG13" s="549"/>
      <c r="HH13" s="549"/>
      <c r="HI13" s="549"/>
      <c r="HJ13" s="549"/>
      <c r="HK13" s="549"/>
      <c r="HL13" s="549"/>
      <c r="HM13" s="549"/>
      <c r="HP13" s="551">
        <f t="shared" si="122"/>
        <v>10</v>
      </c>
      <c r="HQ13" s="762">
        <f t="shared" si="69"/>
        <v>10</v>
      </c>
      <c r="HR13" s="660" t="s">
        <v>399</v>
      </c>
      <c r="HS13" s="661">
        <f t="shared" si="92"/>
        <v>4853908</v>
      </c>
      <c r="HT13" s="757">
        <f t="shared" si="93"/>
        <v>18.416425</v>
      </c>
      <c r="HU13" s="757">
        <v>16.197026000000001</v>
      </c>
      <c r="HV13" s="651">
        <f t="shared" si="94"/>
        <v>0.13702509337207958</v>
      </c>
      <c r="HW13" s="757">
        <f t="shared" si="95"/>
        <v>2.2193989999999992</v>
      </c>
      <c r="HX13" s="652">
        <v>25</v>
      </c>
      <c r="IO13" s="551">
        <v>10</v>
      </c>
      <c r="IP13" s="762">
        <v>10</v>
      </c>
      <c r="IQ13" s="660" t="s">
        <v>399</v>
      </c>
      <c r="IR13" s="772">
        <f t="shared" si="96"/>
        <v>893916.32260690629</v>
      </c>
      <c r="IS13" s="773">
        <f t="shared" si="96"/>
        <v>4853908</v>
      </c>
      <c r="IT13" s="774">
        <f t="shared" si="96"/>
        <v>18.416425</v>
      </c>
      <c r="IU13" s="661">
        <f t="shared" si="97"/>
        <v>714403.15279467846</v>
      </c>
      <c r="IV13" s="661">
        <f t="shared" si="98"/>
        <v>4139504.8472053213</v>
      </c>
      <c r="IW13" s="772">
        <f t="shared" si="123"/>
        <v>10716.047291920177</v>
      </c>
      <c r="IX13" s="772">
        <f t="shared" si="99"/>
        <v>883200.27531498612</v>
      </c>
      <c r="IY13" s="455">
        <f t="shared" si="100"/>
        <v>18.195653385168942</v>
      </c>
      <c r="IZ13" s="555">
        <f t="shared" si="101"/>
        <v>19.695653385168942</v>
      </c>
      <c r="JA13" s="772">
        <f t="shared" si="102"/>
        <v>893916.32260690629</v>
      </c>
      <c r="JB13" s="778">
        <f t="shared" si="103"/>
        <v>0.22077161483105812</v>
      </c>
      <c r="JF13" s="551">
        <f t="shared" si="124"/>
        <v>10</v>
      </c>
      <c r="JG13" s="762">
        <f t="shared" si="70"/>
        <v>10</v>
      </c>
      <c r="JH13" s="660" t="s">
        <v>399</v>
      </c>
      <c r="JI13" s="661">
        <f t="shared" si="104"/>
        <v>4853908</v>
      </c>
      <c r="JJ13" s="757">
        <f t="shared" si="105"/>
        <v>18.195653385168942</v>
      </c>
      <c r="JK13" s="757">
        <v>15.97479251749226</v>
      </c>
      <c r="JL13" s="651">
        <f t="shared" si="126"/>
        <v>0.13902283020232398</v>
      </c>
      <c r="JM13" s="757">
        <f t="shared" si="107"/>
        <v>2.2208608676766826</v>
      </c>
      <c r="JN13" s="652">
        <v>25</v>
      </c>
      <c r="JS13" s="757">
        <v>18.195653385168942</v>
      </c>
      <c r="JT13" s="757">
        <f t="shared" si="108"/>
        <v>0</v>
      </c>
      <c r="JU13" s="1010">
        <v>4853908</v>
      </c>
      <c r="JV13" s="1010">
        <f t="shared" si="109"/>
        <v>0</v>
      </c>
      <c r="JW13" s="1069">
        <f t="shared" si="110"/>
        <v>0</v>
      </c>
      <c r="JX13" s="997">
        <v>883200.27531498612</v>
      </c>
      <c r="JY13" s="997">
        <f t="shared" si="111"/>
        <v>883200.27531498612</v>
      </c>
      <c r="JZ13" s="516"/>
      <c r="KA13" s="516"/>
      <c r="KB13" s="516"/>
      <c r="KC13" s="516"/>
      <c r="KE13" s="516"/>
      <c r="KF13" s="516"/>
    </row>
    <row r="14" spans="1:292" ht="16.5" x14ac:dyDescent="0.3">
      <c r="C14" s="232"/>
      <c r="I14" s="543">
        <f t="shared" si="112"/>
        <v>11</v>
      </c>
      <c r="J14" s="654">
        <f t="shared" si="1"/>
        <v>11</v>
      </c>
      <c r="K14" s="655" t="s">
        <v>400</v>
      </c>
      <c r="L14" s="991">
        <v>55181479</v>
      </c>
      <c r="M14" s="657">
        <f t="shared" si="2"/>
        <v>2.5283348604599607E-2</v>
      </c>
      <c r="N14" s="656">
        <v>245</v>
      </c>
      <c r="O14" s="656">
        <f t="shared" si="71"/>
        <v>225230.52653061223</v>
      </c>
      <c r="P14" s="657">
        <f t="shared" si="3"/>
        <v>0.12713362128210884</v>
      </c>
      <c r="Q14" s="658" t="s">
        <v>379</v>
      </c>
      <c r="U14" s="545">
        <f t="shared" si="113"/>
        <v>11</v>
      </c>
      <c r="V14" s="669">
        <f t="shared" si="4"/>
        <v>11</v>
      </c>
      <c r="W14" s="655" t="s">
        <v>400</v>
      </c>
      <c r="X14" s="646">
        <f t="shared" si="72"/>
        <v>7774616.1413246775</v>
      </c>
      <c r="Y14" s="657">
        <f t="shared" si="5"/>
        <v>8.0587749882943246E-2</v>
      </c>
      <c r="AC14" s="545">
        <f t="shared" si="114"/>
        <v>11</v>
      </c>
      <c r="AD14" s="678">
        <v>11</v>
      </c>
      <c r="AE14" s="679" t="s">
        <v>400</v>
      </c>
      <c r="AF14" s="680">
        <v>9.5</v>
      </c>
      <c r="AP14" s="545">
        <f t="shared" si="74"/>
        <v>11</v>
      </c>
      <c r="AQ14" s="693">
        <f t="shared" si="6"/>
        <v>11</v>
      </c>
      <c r="AR14" s="655" t="s">
        <v>400</v>
      </c>
      <c r="AS14" s="655">
        <f t="shared" si="7"/>
        <v>9.5</v>
      </c>
      <c r="AT14" s="694">
        <f t="shared" si="75"/>
        <v>55181479</v>
      </c>
      <c r="AU14" s="694">
        <f t="shared" si="115"/>
        <v>145617.79180555555</v>
      </c>
      <c r="AV14" s="695">
        <f t="shared" si="8"/>
        <v>150409.79510284049</v>
      </c>
      <c r="AW14" s="696">
        <f t="shared" si="9"/>
        <v>21.592508896755891</v>
      </c>
      <c r="AX14" s="646">
        <f t="shared" si="125"/>
        <v>3247724.8389173141</v>
      </c>
      <c r="AY14" s="544">
        <f t="shared" si="76"/>
        <v>7.7617152830768421E-2</v>
      </c>
      <c r="AZ14" s="548">
        <f t="shared" si="10"/>
        <v>5.8855339999999998</v>
      </c>
      <c r="BK14" s="543">
        <f t="shared" si="116"/>
        <v>11</v>
      </c>
      <c r="BL14" s="658">
        <f t="shared" si="11"/>
        <v>11</v>
      </c>
      <c r="BM14" s="655" t="s">
        <v>400</v>
      </c>
      <c r="BN14" s="657">
        <f t="shared" si="77"/>
        <v>7.7617152830768421E-2</v>
      </c>
      <c r="BO14" s="646">
        <f t="shared" si="78"/>
        <v>744093.35938264488</v>
      </c>
      <c r="BP14" s="657">
        <f t="shared" si="79"/>
        <v>2.5283348604599607E-2</v>
      </c>
      <c r="BQ14" s="646">
        <f t="shared" si="80"/>
        <v>242384.20392278614</v>
      </c>
      <c r="BR14" s="708">
        <f t="shared" si="12"/>
        <v>986477.56330543105</v>
      </c>
      <c r="BS14" s="709">
        <f t="shared" si="13"/>
        <v>1.7876970000000001</v>
      </c>
      <c r="BV14" s="15"/>
      <c r="BW14" s="190"/>
      <c r="BX14" s="190"/>
      <c r="BY14" s="190"/>
      <c r="BZ14" s="190"/>
      <c r="CA14" s="190"/>
      <c r="CB14" s="190"/>
      <c r="CC14" s="190"/>
      <c r="CD14" s="190"/>
      <c r="CH14" s="543">
        <f t="shared" si="117"/>
        <v>11</v>
      </c>
      <c r="CI14" s="678">
        <f t="shared" si="15"/>
        <v>11</v>
      </c>
      <c r="CJ14" s="655" t="s">
        <v>400</v>
      </c>
      <c r="CK14" s="657">
        <f t="shared" si="16"/>
        <v>2.5283348604599607E-2</v>
      </c>
      <c r="CL14" s="646">
        <f t="shared" si="17"/>
        <v>148204.38492504478</v>
      </c>
      <c r="CM14" s="657">
        <f t="shared" si="18"/>
        <v>0.12713362128210884</v>
      </c>
      <c r="CN14" s="646">
        <f t="shared" si="19"/>
        <v>2442488.3290315303</v>
      </c>
      <c r="CO14" s="646">
        <f t="shared" si="20"/>
        <v>2590692.7139565749</v>
      </c>
      <c r="CP14" s="657">
        <f t="shared" si="21"/>
        <v>0.10332304308801704</v>
      </c>
      <c r="CQ14" s="709">
        <f t="shared" si="22"/>
        <v>4.6948590000000001</v>
      </c>
      <c r="DD14" s="15"/>
      <c r="DG14" s="545">
        <f t="shared" si="118"/>
        <v>11</v>
      </c>
      <c r="DH14" s="739">
        <f t="shared" si="23"/>
        <v>11</v>
      </c>
      <c r="DI14" s="655" t="s">
        <v>400</v>
      </c>
      <c r="DJ14" s="657">
        <f t="shared" si="24"/>
        <v>0.10332304308801704</v>
      </c>
      <c r="DK14" s="646">
        <f t="shared" si="82"/>
        <v>38921.24629167666</v>
      </c>
      <c r="DL14" s="657">
        <f t="shared" si="25"/>
        <v>0.12713362128210884</v>
      </c>
      <c r="DM14" s="646">
        <f t="shared" si="26"/>
        <v>311240.33269250387</v>
      </c>
      <c r="DN14" s="657">
        <f t="shared" si="27"/>
        <v>2.5283348604599607E-2</v>
      </c>
      <c r="DO14" s="646">
        <f t="shared" si="83"/>
        <v>89727.166005231411</v>
      </c>
      <c r="DP14" s="646">
        <f t="shared" si="84"/>
        <v>439888.74498941191</v>
      </c>
      <c r="DQ14" s="657">
        <f t="shared" si="28"/>
        <v>6.9016292156276124E-2</v>
      </c>
      <c r="DR14" s="709">
        <f t="shared" si="29"/>
        <v>0.79716699999999996</v>
      </c>
      <c r="DV14" s="545">
        <f t="shared" si="119"/>
        <v>11</v>
      </c>
      <c r="DW14" s="739">
        <f t="shared" si="30"/>
        <v>11</v>
      </c>
      <c r="DX14" s="655" t="s">
        <v>400</v>
      </c>
      <c r="DY14" s="657">
        <f t="shared" si="31"/>
        <v>0.12713362128210884</v>
      </c>
      <c r="DZ14" s="646">
        <f t="shared" si="32"/>
        <v>509832.28015594586</v>
      </c>
      <c r="EA14" s="709">
        <f t="shared" si="33"/>
        <v>0.92391900000000005</v>
      </c>
      <c r="EM14" s="545">
        <f t="shared" si="120"/>
        <v>11</v>
      </c>
      <c r="EN14" s="739">
        <f t="shared" si="34"/>
        <v>11</v>
      </c>
      <c r="EO14" s="655" t="s">
        <v>400</v>
      </c>
      <c r="EP14" s="657">
        <f t="shared" si="35"/>
        <v>8.0587749882943246E-2</v>
      </c>
      <c r="EQ14" s="646">
        <f t="shared" si="36"/>
        <v>630072.75391869654</v>
      </c>
      <c r="ER14" s="657">
        <f t="shared" si="37"/>
        <v>0.10332304308801704</v>
      </c>
      <c r="ES14" s="646">
        <f t="shared" si="38"/>
        <v>104277.05288193896</v>
      </c>
      <c r="ET14" s="657">
        <f t="shared" si="39"/>
        <v>2.5283348604599607E-2</v>
      </c>
      <c r="EU14" s="646">
        <f t="shared" si="40"/>
        <v>108018.07249297205</v>
      </c>
      <c r="EV14" s="646">
        <f t="shared" si="41"/>
        <v>842367.87929360755</v>
      </c>
      <c r="EW14" s="657">
        <f t="shared" si="42"/>
        <v>6.4302880358811793E-2</v>
      </c>
      <c r="EX14" s="709">
        <f t="shared" si="43"/>
        <v>1.5265409999999999</v>
      </c>
      <c r="FH14" s="545">
        <f t="shared" si="121"/>
        <v>11</v>
      </c>
      <c r="FI14" s="669">
        <f t="shared" si="44"/>
        <v>11</v>
      </c>
      <c r="FJ14" s="655" t="s">
        <v>400</v>
      </c>
      <c r="FK14" s="657">
        <f t="shared" si="45"/>
        <v>8.0587749882943246E-2</v>
      </c>
      <c r="FL14" s="646">
        <f t="shared" si="46"/>
        <v>1581592.2072744702</v>
      </c>
      <c r="FM14" s="709">
        <f t="shared" si="47"/>
        <v>2.8661650000000001</v>
      </c>
      <c r="FQ14" s="543">
        <v>11</v>
      </c>
      <c r="FR14" s="669">
        <v>11</v>
      </c>
      <c r="FS14" s="655" t="s">
        <v>400</v>
      </c>
      <c r="FT14" s="646">
        <f t="shared" si="48"/>
        <v>3247724.8389173141</v>
      </c>
      <c r="FU14" s="646">
        <f t="shared" si="49"/>
        <v>986477.56330543105</v>
      </c>
      <c r="FV14" s="646">
        <f t="shared" si="50"/>
        <v>2590692.7139565749</v>
      </c>
      <c r="FW14" s="646">
        <f t="shared" si="86"/>
        <v>439888.74498941191</v>
      </c>
      <c r="FX14" s="646">
        <f t="shared" si="51"/>
        <v>509832.28015594586</v>
      </c>
      <c r="FY14" s="646">
        <f t="shared" si="52"/>
        <v>842367.87929360755</v>
      </c>
      <c r="FZ14" s="646">
        <f t="shared" si="53"/>
        <v>1581592.2072744702</v>
      </c>
      <c r="GA14" s="646">
        <f t="shared" si="54"/>
        <v>10198576.227892756</v>
      </c>
      <c r="GB14" s="746">
        <f t="shared" si="55"/>
        <v>18.481883</v>
      </c>
      <c r="GF14" s="545">
        <f t="shared" si="87"/>
        <v>11</v>
      </c>
      <c r="GG14" s="669">
        <f t="shared" si="56"/>
        <v>11</v>
      </c>
      <c r="GH14" s="655" t="s">
        <v>400</v>
      </c>
      <c r="GI14" s="709">
        <f t="shared" si="57"/>
        <v>5.8855339999999998</v>
      </c>
      <c r="GJ14" s="709">
        <f t="shared" si="58"/>
        <v>1.7876970000000001</v>
      </c>
      <c r="GK14" s="709">
        <f t="shared" si="59"/>
        <v>4.6948590000000001</v>
      </c>
      <c r="GL14" s="709">
        <f t="shared" si="60"/>
        <v>0.79716699999999996</v>
      </c>
      <c r="GM14" s="709">
        <f t="shared" si="61"/>
        <v>0.92391900000000005</v>
      </c>
      <c r="GN14" s="709">
        <f t="shared" si="62"/>
        <v>1.5265409999999999</v>
      </c>
      <c r="GO14" s="709">
        <f t="shared" si="63"/>
        <v>2.8661650000000001</v>
      </c>
      <c r="GP14" s="709">
        <f t="shared" si="64"/>
        <v>18.481883</v>
      </c>
      <c r="GQ14" s="656">
        <f t="shared" si="88"/>
        <v>55181479</v>
      </c>
      <c r="GR14" s="530"/>
      <c r="GU14" s="543">
        <f t="shared" si="89"/>
        <v>11</v>
      </c>
      <c r="GV14" s="669">
        <f t="shared" si="65"/>
        <v>11</v>
      </c>
      <c r="GW14" s="655" t="s">
        <v>400</v>
      </c>
      <c r="GX14" s="658" t="s">
        <v>379</v>
      </c>
      <c r="GY14" s="646">
        <f t="shared" si="90"/>
        <v>10198576.227892756</v>
      </c>
      <c r="GZ14" s="656">
        <f t="shared" si="66"/>
        <v>55181479</v>
      </c>
      <c r="HA14" s="709">
        <f t="shared" si="91"/>
        <v>18.481883</v>
      </c>
      <c r="HB14" s="646">
        <f t="shared" si="67"/>
        <v>10198576.38644957</v>
      </c>
      <c r="HC14" s="749">
        <f t="shared" si="68"/>
        <v>0.15855681337416172</v>
      </c>
      <c r="HD14" s="549"/>
      <c r="HG14" s="549"/>
      <c r="HH14" s="549"/>
      <c r="HI14" s="549"/>
      <c r="HJ14" s="549"/>
      <c r="HK14" s="549"/>
      <c r="HL14" s="549"/>
      <c r="HM14" s="549"/>
      <c r="HP14" s="545">
        <f t="shared" si="122"/>
        <v>11</v>
      </c>
      <c r="HQ14" s="761">
        <f t="shared" si="69"/>
        <v>11</v>
      </c>
      <c r="HR14" s="655" t="s">
        <v>400</v>
      </c>
      <c r="HS14" s="656">
        <f t="shared" si="92"/>
        <v>55181479</v>
      </c>
      <c r="HT14" s="756">
        <f t="shared" si="93"/>
        <v>18.481883</v>
      </c>
      <c r="HU14" s="756">
        <v>16.373829000000001</v>
      </c>
      <c r="HV14" s="647">
        <f t="shared" si="94"/>
        <v>0.12874532890260415</v>
      </c>
      <c r="HW14" s="756">
        <f t="shared" si="95"/>
        <v>2.1080539999999992</v>
      </c>
      <c r="HX14" s="648">
        <v>25</v>
      </c>
      <c r="IO14" s="545">
        <v>11</v>
      </c>
      <c r="IP14" s="761">
        <v>11</v>
      </c>
      <c r="IQ14" s="655" t="s">
        <v>400</v>
      </c>
      <c r="IR14" s="769">
        <f t="shared" si="96"/>
        <v>10198576.227892756</v>
      </c>
      <c r="IS14" s="770">
        <f t="shared" si="96"/>
        <v>55181479</v>
      </c>
      <c r="IT14" s="771">
        <f t="shared" si="96"/>
        <v>18.481883</v>
      </c>
      <c r="IU14" s="656">
        <f t="shared" si="97"/>
        <v>8121666.6186242783</v>
      </c>
      <c r="IV14" s="656">
        <f t="shared" si="98"/>
        <v>47059812.381375723</v>
      </c>
      <c r="IW14" s="769">
        <f t="shared" si="123"/>
        <v>121824.99927936417</v>
      </c>
      <c r="IX14" s="769">
        <f t="shared" si="99"/>
        <v>10076751.228613392</v>
      </c>
      <c r="IY14" s="550">
        <f t="shared" si="100"/>
        <v>18.261111175750457</v>
      </c>
      <c r="IZ14" s="550">
        <f t="shared" si="101"/>
        <v>19.761111175750457</v>
      </c>
      <c r="JA14" s="769">
        <f t="shared" si="102"/>
        <v>10198576.227892756</v>
      </c>
      <c r="JB14" s="746">
        <f t="shared" si="103"/>
        <v>0.22077182424954245</v>
      </c>
      <c r="JF14" s="545">
        <f t="shared" si="124"/>
        <v>11</v>
      </c>
      <c r="JG14" s="761">
        <f t="shared" si="70"/>
        <v>11</v>
      </c>
      <c r="JH14" s="655" t="s">
        <v>400</v>
      </c>
      <c r="JI14" s="656">
        <f t="shared" si="104"/>
        <v>55181479</v>
      </c>
      <c r="JJ14" s="756">
        <f t="shared" si="105"/>
        <v>18.261111175750457</v>
      </c>
      <c r="JK14" s="756">
        <v>16.151595464916259</v>
      </c>
      <c r="JL14" s="647">
        <f t="shared" si="126"/>
        <v>0.13060726510990128</v>
      </c>
      <c r="JM14" s="756">
        <f t="shared" si="107"/>
        <v>2.1095157108341986</v>
      </c>
      <c r="JN14" s="648">
        <v>25</v>
      </c>
      <c r="JS14" s="756">
        <v>18.261111175750457</v>
      </c>
      <c r="JT14" s="1072">
        <f t="shared" si="108"/>
        <v>0</v>
      </c>
      <c r="JU14" s="1009">
        <v>55181479</v>
      </c>
      <c r="JV14" s="1009">
        <f t="shared" si="109"/>
        <v>0</v>
      </c>
      <c r="JW14" s="1069">
        <f t="shared" si="110"/>
        <v>0</v>
      </c>
      <c r="JX14" s="997">
        <v>10076751.228613392</v>
      </c>
      <c r="JY14" s="997">
        <f t="shared" si="111"/>
        <v>10076751.228613392</v>
      </c>
      <c r="JZ14" s="516"/>
      <c r="KA14" s="516"/>
      <c r="KB14" s="516"/>
      <c r="KC14" s="516"/>
      <c r="KE14" s="516"/>
      <c r="KF14" s="516"/>
    </row>
    <row r="15" spans="1:292" ht="16.5" x14ac:dyDescent="0.3">
      <c r="I15" s="222">
        <f t="shared" si="112"/>
        <v>12</v>
      </c>
      <c r="J15" s="659">
        <f t="shared" si="1"/>
        <v>12</v>
      </c>
      <c r="K15" s="660" t="s">
        <v>401</v>
      </c>
      <c r="L15" s="991">
        <v>27254832</v>
      </c>
      <c r="M15" s="662">
        <f t="shared" si="2"/>
        <v>1.2487766386540613E-2</v>
      </c>
      <c r="N15" s="661">
        <v>1606</v>
      </c>
      <c r="O15" s="661">
        <f t="shared" si="71"/>
        <v>16970.630136986303</v>
      </c>
      <c r="P15" s="662">
        <f t="shared" si="3"/>
        <v>9.5792417572718204E-3</v>
      </c>
      <c r="Q15" s="663" t="s">
        <v>384</v>
      </c>
      <c r="U15" s="551">
        <f t="shared" si="113"/>
        <v>12</v>
      </c>
      <c r="V15" s="670">
        <f t="shared" si="4"/>
        <v>12</v>
      </c>
      <c r="W15" s="660" t="s">
        <v>401</v>
      </c>
      <c r="X15" s="671">
        <f t="shared" si="72"/>
        <v>1530916.2469380433</v>
      </c>
      <c r="Y15" s="662">
        <f t="shared" si="5"/>
        <v>1.5868705715798376E-2</v>
      </c>
      <c r="AC15" s="551">
        <f t="shared" si="114"/>
        <v>12</v>
      </c>
      <c r="AD15" s="681">
        <v>12</v>
      </c>
      <c r="AE15" s="682" t="s">
        <v>401</v>
      </c>
      <c r="AF15" s="683">
        <v>5.03</v>
      </c>
      <c r="AP15" s="551">
        <f t="shared" si="74"/>
        <v>12</v>
      </c>
      <c r="AQ15" s="697">
        <f t="shared" si="6"/>
        <v>12</v>
      </c>
      <c r="AR15" s="660" t="s">
        <v>401</v>
      </c>
      <c r="AS15" s="660">
        <f t="shared" si="7"/>
        <v>5.03</v>
      </c>
      <c r="AT15" s="698">
        <f t="shared" si="75"/>
        <v>27254832</v>
      </c>
      <c r="AU15" s="698">
        <f t="shared" si="115"/>
        <v>38081.056933333333</v>
      </c>
      <c r="AV15" s="699">
        <f t="shared" si="8"/>
        <v>39334.2317557637</v>
      </c>
      <c r="AW15" s="700">
        <f t="shared" si="9"/>
        <v>21.592508896755891</v>
      </c>
      <c r="AX15" s="671">
        <f t="shared" si="125"/>
        <v>849324.74913338583</v>
      </c>
      <c r="AY15" s="465">
        <f t="shared" si="76"/>
        <v>2.0297953837251918E-2</v>
      </c>
      <c r="AZ15" s="553">
        <f t="shared" si="10"/>
        <v>3.1162350000000001</v>
      </c>
      <c r="BK15" s="222">
        <f t="shared" si="116"/>
        <v>12</v>
      </c>
      <c r="BL15" s="663">
        <f t="shared" si="11"/>
        <v>12</v>
      </c>
      <c r="BM15" s="660" t="s">
        <v>401</v>
      </c>
      <c r="BN15" s="662">
        <f t="shared" si="77"/>
        <v>2.0297953837251918E-2</v>
      </c>
      <c r="BO15" s="671">
        <f t="shared" si="78"/>
        <v>194590.65565424066</v>
      </c>
      <c r="BP15" s="662">
        <f t="shared" si="79"/>
        <v>1.2487766386540613E-2</v>
      </c>
      <c r="BQ15" s="671">
        <f t="shared" si="80"/>
        <v>119716.63096179928</v>
      </c>
      <c r="BR15" s="710">
        <f t="shared" si="12"/>
        <v>314307.28661603993</v>
      </c>
      <c r="BS15" s="711">
        <f t="shared" si="13"/>
        <v>1.1532169999999999</v>
      </c>
      <c r="BV15" s="15"/>
      <c r="BW15" s="190"/>
      <c r="BX15" s="190"/>
      <c r="BY15" s="190"/>
      <c r="BZ15" s="190"/>
      <c r="CA15" s="190"/>
      <c r="CB15" s="190"/>
      <c r="CC15" s="190"/>
      <c r="CD15" s="190"/>
      <c r="CH15" s="222">
        <f t="shared" si="117"/>
        <v>12</v>
      </c>
      <c r="CI15" s="681">
        <f t="shared" si="15"/>
        <v>12</v>
      </c>
      <c r="CJ15" s="660" t="s">
        <v>401</v>
      </c>
      <c r="CK15" s="723">
        <f t="shared" si="16"/>
        <v>1.2487766386540613E-2</v>
      </c>
      <c r="CL15" s="650">
        <f t="shared" si="17"/>
        <v>73200.024464647431</v>
      </c>
      <c r="CM15" s="723">
        <f t="shared" si="18"/>
        <v>9.5792417572718204E-3</v>
      </c>
      <c r="CN15" s="650">
        <f t="shared" si="19"/>
        <v>184036.18143771484</v>
      </c>
      <c r="CO15" s="650">
        <f t="shared" si="20"/>
        <v>257236.20590236227</v>
      </c>
      <c r="CP15" s="723">
        <f t="shared" si="21"/>
        <v>1.0259197257576921E-2</v>
      </c>
      <c r="CQ15" s="724">
        <f t="shared" si="22"/>
        <v>0.94381899999999996</v>
      </c>
      <c r="DD15" s="15"/>
      <c r="DG15" s="551">
        <f t="shared" si="118"/>
        <v>12</v>
      </c>
      <c r="DH15" s="677">
        <f t="shared" si="23"/>
        <v>12</v>
      </c>
      <c r="DI15" s="660" t="s">
        <v>401</v>
      </c>
      <c r="DJ15" s="723">
        <f t="shared" si="24"/>
        <v>1.0259197257576921E-2</v>
      </c>
      <c r="DK15" s="650">
        <f t="shared" si="82"/>
        <v>3864.5855879108763</v>
      </c>
      <c r="DL15" s="723">
        <f t="shared" si="25"/>
        <v>9.5792417572718204E-3</v>
      </c>
      <c r="DM15" s="650">
        <f t="shared" si="26"/>
        <v>23451.281898589146</v>
      </c>
      <c r="DN15" s="723">
        <f t="shared" si="27"/>
        <v>1.2487766386540613E-2</v>
      </c>
      <c r="DO15" s="650">
        <f t="shared" si="83"/>
        <v>44317.38473897543</v>
      </c>
      <c r="DP15" s="650">
        <f t="shared" si="84"/>
        <v>71633.252225475444</v>
      </c>
      <c r="DQ15" s="723">
        <f t="shared" si="28"/>
        <v>1.1238890560422564E-2</v>
      </c>
      <c r="DR15" s="724">
        <f t="shared" si="29"/>
        <v>0.26282800000000001</v>
      </c>
      <c r="DV15" s="551">
        <f t="shared" si="119"/>
        <v>12</v>
      </c>
      <c r="DW15" s="677">
        <f t="shared" si="30"/>
        <v>12</v>
      </c>
      <c r="DX15" s="660" t="s">
        <v>401</v>
      </c>
      <c r="DY15" s="723">
        <f t="shared" si="31"/>
        <v>9.5792417572718204E-3</v>
      </c>
      <c r="DZ15" s="650">
        <f t="shared" si="32"/>
        <v>38414.753060780051</v>
      </c>
      <c r="EA15" s="724">
        <f t="shared" si="33"/>
        <v>0.14094699999999999</v>
      </c>
      <c r="EM15" s="551">
        <f t="shared" si="120"/>
        <v>12</v>
      </c>
      <c r="EN15" s="677">
        <f t="shared" si="34"/>
        <v>12</v>
      </c>
      <c r="EO15" s="660" t="s">
        <v>401</v>
      </c>
      <c r="EP15" s="723">
        <f t="shared" si="35"/>
        <v>1.5868705715798376E-2</v>
      </c>
      <c r="EQ15" s="650">
        <f t="shared" si="36"/>
        <v>124068.96986206407</v>
      </c>
      <c r="ER15" s="723">
        <f t="shared" si="37"/>
        <v>1.0259197257576921E-2</v>
      </c>
      <c r="ES15" s="650">
        <f t="shared" si="38"/>
        <v>10353.92321965653</v>
      </c>
      <c r="ET15" s="723">
        <f t="shared" si="39"/>
        <v>1.2487766386540613E-2</v>
      </c>
      <c r="EU15" s="650">
        <f t="shared" si="40"/>
        <v>53351.495322547889</v>
      </c>
      <c r="EV15" s="650">
        <f t="shared" si="41"/>
        <v>187774.38840426848</v>
      </c>
      <c r="EW15" s="723">
        <f t="shared" si="42"/>
        <v>1.433392028448913E-2</v>
      </c>
      <c r="EX15" s="724">
        <f t="shared" si="43"/>
        <v>0.68895799999999996</v>
      </c>
      <c r="FH15" s="551">
        <f t="shared" si="121"/>
        <v>12</v>
      </c>
      <c r="FI15" s="670">
        <f t="shared" si="44"/>
        <v>12</v>
      </c>
      <c r="FJ15" s="660" t="s">
        <v>401</v>
      </c>
      <c r="FK15" s="723">
        <f t="shared" si="45"/>
        <v>1.5868705715798376E-2</v>
      </c>
      <c r="FL15" s="650">
        <f t="shared" si="46"/>
        <v>311434.69492688513</v>
      </c>
      <c r="FM15" s="724">
        <f t="shared" si="47"/>
        <v>1.1426769999999999</v>
      </c>
      <c r="FQ15" s="222">
        <v>12</v>
      </c>
      <c r="FR15" s="670">
        <v>12</v>
      </c>
      <c r="FS15" s="660" t="s">
        <v>401</v>
      </c>
      <c r="FT15" s="650">
        <f t="shared" si="48"/>
        <v>849324.74913338583</v>
      </c>
      <c r="FU15" s="650">
        <f t="shared" si="49"/>
        <v>314307.28661603993</v>
      </c>
      <c r="FV15" s="650">
        <f t="shared" si="50"/>
        <v>257236.20590236227</v>
      </c>
      <c r="FW15" s="650">
        <f t="shared" si="86"/>
        <v>71633.252225475444</v>
      </c>
      <c r="FX15" s="650">
        <f t="shared" si="51"/>
        <v>38414.753060780051</v>
      </c>
      <c r="FY15" s="650">
        <f t="shared" si="52"/>
        <v>187774.38840426848</v>
      </c>
      <c r="FZ15" s="650">
        <f t="shared" si="53"/>
        <v>311434.69492688513</v>
      </c>
      <c r="GA15" s="650">
        <f t="shared" si="54"/>
        <v>2030125.330269197</v>
      </c>
      <c r="GB15" s="747">
        <f t="shared" si="55"/>
        <v>7.4486800000000004</v>
      </c>
      <c r="GF15" s="551">
        <f t="shared" si="87"/>
        <v>12</v>
      </c>
      <c r="GG15" s="670">
        <f t="shared" si="56"/>
        <v>12</v>
      </c>
      <c r="GH15" s="660" t="s">
        <v>401</v>
      </c>
      <c r="GI15" s="724">
        <f t="shared" si="57"/>
        <v>3.1162350000000001</v>
      </c>
      <c r="GJ15" s="724">
        <f t="shared" si="58"/>
        <v>1.1532169999999999</v>
      </c>
      <c r="GK15" s="724">
        <f t="shared" si="59"/>
        <v>0.94381899999999996</v>
      </c>
      <c r="GL15" s="724">
        <f t="shared" si="60"/>
        <v>0.26282800000000001</v>
      </c>
      <c r="GM15" s="724">
        <f t="shared" si="61"/>
        <v>0.14094699999999999</v>
      </c>
      <c r="GN15" s="724">
        <f t="shared" si="62"/>
        <v>0.68895799999999996</v>
      </c>
      <c r="GO15" s="724">
        <f t="shared" si="63"/>
        <v>1.1426769999999999</v>
      </c>
      <c r="GP15" s="724">
        <f t="shared" si="64"/>
        <v>7.4486800000000004</v>
      </c>
      <c r="GQ15" s="661">
        <f t="shared" si="88"/>
        <v>27254832</v>
      </c>
      <c r="GR15" s="530"/>
      <c r="GU15" s="222">
        <f t="shared" si="89"/>
        <v>12</v>
      </c>
      <c r="GV15" s="670">
        <f t="shared" si="65"/>
        <v>12</v>
      </c>
      <c r="GW15" s="660" t="s">
        <v>401</v>
      </c>
      <c r="GX15" s="663" t="s">
        <v>384</v>
      </c>
      <c r="GY15" s="671">
        <f t="shared" si="90"/>
        <v>2030125.330269197</v>
      </c>
      <c r="GZ15" s="661">
        <f t="shared" si="66"/>
        <v>27254832</v>
      </c>
      <c r="HA15" s="724">
        <f t="shared" si="91"/>
        <v>7.4486800000000004</v>
      </c>
      <c r="HB15" s="650">
        <f t="shared" si="67"/>
        <v>2030125.2202176002</v>
      </c>
      <c r="HC15" s="750">
        <f t="shared" si="68"/>
        <v>-0.11005159677006304</v>
      </c>
      <c r="HD15" s="549"/>
      <c r="HG15" s="549"/>
      <c r="HH15" s="549"/>
      <c r="HI15" s="549"/>
      <c r="HJ15" s="549"/>
      <c r="HK15" s="549"/>
      <c r="HL15" s="549"/>
      <c r="HM15" s="549"/>
      <c r="HP15" s="551">
        <f t="shared" si="122"/>
        <v>12</v>
      </c>
      <c r="HQ15" s="762">
        <f t="shared" si="69"/>
        <v>12</v>
      </c>
      <c r="HR15" s="660" t="s">
        <v>401</v>
      </c>
      <c r="HS15" s="661">
        <f t="shared" si="92"/>
        <v>27254832</v>
      </c>
      <c r="HT15" s="757">
        <f t="shared" si="93"/>
        <v>7.4486800000000004</v>
      </c>
      <c r="HU15" s="757">
        <v>6.4709839999999996</v>
      </c>
      <c r="HV15" s="651">
        <f t="shared" si="94"/>
        <v>0.15108923156045528</v>
      </c>
      <c r="HW15" s="757">
        <f t="shared" si="95"/>
        <v>0.97769600000000079</v>
      </c>
      <c r="HX15" s="652">
        <v>10</v>
      </c>
      <c r="IO15" s="551">
        <v>12</v>
      </c>
      <c r="IP15" s="762">
        <v>12</v>
      </c>
      <c r="IQ15" s="660" t="s">
        <v>401</v>
      </c>
      <c r="IR15" s="772">
        <f t="shared" si="96"/>
        <v>2030125.330269197</v>
      </c>
      <c r="IS15" s="773">
        <f t="shared" si="96"/>
        <v>27254832</v>
      </c>
      <c r="IT15" s="774">
        <f t="shared" si="96"/>
        <v>7.4486800000000004</v>
      </c>
      <c r="IU15" s="991">
        <v>0</v>
      </c>
      <c r="IV15" s="661">
        <f t="shared" si="98"/>
        <v>27254832</v>
      </c>
      <c r="IW15" s="772">
        <f t="shared" si="123"/>
        <v>0</v>
      </c>
      <c r="IX15" s="772">
        <f t="shared" si="99"/>
        <v>2030125.330269197</v>
      </c>
      <c r="IY15" s="455">
        <f>IT15</f>
        <v>7.4486800000000004</v>
      </c>
      <c r="IZ15" s="555">
        <f>IY15</f>
        <v>7.4486800000000004</v>
      </c>
      <c r="JA15" s="772">
        <f t="shared" si="102"/>
        <v>2030125.2202176002</v>
      </c>
      <c r="JB15" s="778">
        <f t="shared" si="103"/>
        <v>0</v>
      </c>
      <c r="JF15" s="551">
        <f t="shared" si="124"/>
        <v>12</v>
      </c>
      <c r="JG15" s="762">
        <f t="shared" si="70"/>
        <v>12</v>
      </c>
      <c r="JH15" s="660" t="s">
        <v>401</v>
      </c>
      <c r="JI15" s="661">
        <f t="shared" si="104"/>
        <v>27254832</v>
      </c>
      <c r="JJ15" s="757">
        <f t="shared" si="105"/>
        <v>7.4486800000000004</v>
      </c>
      <c r="JK15" s="757">
        <v>6.4709839999999996</v>
      </c>
      <c r="JL15" s="651">
        <f t="shared" si="126"/>
        <v>0.15108923156045528</v>
      </c>
      <c r="JM15" s="757">
        <f t="shared" si="107"/>
        <v>0.97769600000000079</v>
      </c>
      <c r="JN15" s="652">
        <v>10</v>
      </c>
      <c r="JS15" s="757">
        <v>7.4486800000000004</v>
      </c>
      <c r="JT15" s="757">
        <f t="shared" si="108"/>
        <v>0</v>
      </c>
      <c r="JU15" s="1010">
        <v>27254832</v>
      </c>
      <c r="JV15" s="1010">
        <f t="shared" si="109"/>
        <v>0</v>
      </c>
      <c r="JW15" s="1069">
        <f t="shared" si="110"/>
        <v>0</v>
      </c>
      <c r="JX15" s="997">
        <v>2030125.2202176002</v>
      </c>
      <c r="JY15" s="997">
        <f t="shared" si="111"/>
        <v>2030125.2202176002</v>
      </c>
      <c r="JZ15" s="516"/>
      <c r="KA15" s="516"/>
      <c r="KB15" s="516"/>
      <c r="KC15" s="516"/>
      <c r="KE15" s="516"/>
      <c r="KF15" s="516"/>
    </row>
    <row r="16" spans="1:292" ht="16.5" x14ac:dyDescent="0.3">
      <c r="E16" s="411"/>
      <c r="I16" s="543">
        <f t="shared" si="112"/>
        <v>13</v>
      </c>
      <c r="J16" s="654">
        <f t="shared" si="1"/>
        <v>13</v>
      </c>
      <c r="K16" s="655" t="s">
        <v>402</v>
      </c>
      <c r="L16" s="991">
        <v>849</v>
      </c>
      <c r="M16" s="657">
        <f t="shared" si="2"/>
        <v>3.8899941346815055E-7</v>
      </c>
      <c r="N16" s="656">
        <v>18</v>
      </c>
      <c r="O16" s="656">
        <f t="shared" si="71"/>
        <v>47.166666666666664</v>
      </c>
      <c r="P16" s="657">
        <f t="shared" si="3"/>
        <v>2.6623696305768993E-5</v>
      </c>
      <c r="Q16" s="658" t="s">
        <v>379</v>
      </c>
      <c r="U16" s="545">
        <f>+U15+1</f>
        <v>13</v>
      </c>
      <c r="V16" s="669">
        <f t="shared" si="4"/>
        <v>13</v>
      </c>
      <c r="W16" s="655" t="s">
        <v>402</v>
      </c>
      <c r="X16" s="646">
        <f t="shared" si="72"/>
        <v>1182.3802416553858</v>
      </c>
      <c r="Y16" s="657">
        <f t="shared" si="5"/>
        <v>1.2255957265154835E-5</v>
      </c>
      <c r="AC16" s="545">
        <f t="shared" si="114"/>
        <v>13</v>
      </c>
      <c r="AD16" s="678">
        <v>13</v>
      </c>
      <c r="AE16" s="679" t="s">
        <v>402</v>
      </c>
      <c r="AF16" s="680">
        <v>74.84</v>
      </c>
      <c r="AP16" s="545">
        <f t="shared" si="74"/>
        <v>13</v>
      </c>
      <c r="AQ16" s="693">
        <f t="shared" si="6"/>
        <v>13</v>
      </c>
      <c r="AR16" s="655" t="s">
        <v>402</v>
      </c>
      <c r="AS16" s="655">
        <f t="shared" si="7"/>
        <v>74.84</v>
      </c>
      <c r="AT16" s="694">
        <f t="shared" si="75"/>
        <v>849</v>
      </c>
      <c r="AU16" s="694">
        <f t="shared" si="115"/>
        <v>17.649766666666668</v>
      </c>
      <c r="AV16" s="695">
        <f t="shared" si="8"/>
        <v>18.23058676436403</v>
      </c>
      <c r="AW16" s="696">
        <f t="shared" si="9"/>
        <v>21.592508896755891</v>
      </c>
      <c r="AX16" s="646">
        <f>AV16*AW16</f>
        <v>393.64410690261053</v>
      </c>
      <c r="AY16" s="544">
        <f t="shared" si="76"/>
        <v>9.4076734704461046E-6</v>
      </c>
      <c r="AZ16" s="548">
        <f t="shared" si="10"/>
        <v>46.365619000000002</v>
      </c>
      <c r="BK16" s="543">
        <f t="shared" si="116"/>
        <v>13</v>
      </c>
      <c r="BL16" s="658">
        <f t="shared" si="11"/>
        <v>13</v>
      </c>
      <c r="BM16" s="655" t="s">
        <v>402</v>
      </c>
      <c r="BN16" s="657">
        <f t="shared" si="77"/>
        <v>9.4076734704461046E-6</v>
      </c>
      <c r="BO16" s="646">
        <f t="shared" si="78"/>
        <v>90.188664506439679</v>
      </c>
      <c r="BP16" s="657">
        <f t="shared" si="79"/>
        <v>3.8899941346815055E-7</v>
      </c>
      <c r="BQ16" s="646">
        <f t="shared" si="80"/>
        <v>3.7292256905699359</v>
      </c>
      <c r="BR16" s="708">
        <f t="shared" si="12"/>
        <v>93.917890197009612</v>
      </c>
      <c r="BS16" s="709">
        <f t="shared" si="13"/>
        <v>11.062177999999999</v>
      </c>
      <c r="BV16" s="15"/>
      <c r="BW16" s="190"/>
      <c r="BX16" s="190"/>
      <c r="BY16" s="190"/>
      <c r="BZ16" s="190"/>
      <c r="CA16" s="190"/>
      <c r="CB16" s="190"/>
      <c r="CC16" s="190"/>
      <c r="CD16" s="190"/>
      <c r="CH16" s="543">
        <f t="shared" si="117"/>
        <v>13</v>
      </c>
      <c r="CI16" s="678">
        <f t="shared" si="15"/>
        <v>13</v>
      </c>
      <c r="CJ16" s="655" t="s">
        <v>402</v>
      </c>
      <c r="CK16" s="657">
        <f t="shared" si="16"/>
        <v>3.8899941346815055E-7</v>
      </c>
      <c r="CL16" s="646">
        <f t="shared" si="17"/>
        <v>2.2802129461111948</v>
      </c>
      <c r="CM16" s="657">
        <f t="shared" si="18"/>
        <v>2.6623696305768993E-5</v>
      </c>
      <c r="CN16" s="646">
        <f t="shared" si="19"/>
        <v>511.49386642754155</v>
      </c>
      <c r="CO16" s="646">
        <f t="shared" si="20"/>
        <v>513.77407937365274</v>
      </c>
      <c r="CP16" s="657">
        <f t="shared" si="21"/>
        <v>2.0490543341806774E-5</v>
      </c>
      <c r="CQ16" s="709">
        <f t="shared" si="22"/>
        <v>60.515203999999997</v>
      </c>
      <c r="DD16" s="15"/>
      <c r="DG16" s="545">
        <f t="shared" si="118"/>
        <v>13</v>
      </c>
      <c r="DH16" s="739">
        <f t="shared" si="23"/>
        <v>13</v>
      </c>
      <c r="DI16" s="655" t="s">
        <v>402</v>
      </c>
      <c r="DJ16" s="657">
        <f t="shared" si="24"/>
        <v>2.0490543341806774E-5</v>
      </c>
      <c r="DK16" s="646">
        <f t="shared" si="82"/>
        <v>7.7186797854701341</v>
      </c>
      <c r="DL16" s="657">
        <f t="shared" si="25"/>
        <v>2.6623696305768993E-5</v>
      </c>
      <c r="DM16" s="646">
        <f t="shared" si="26"/>
        <v>65.178416316202615</v>
      </c>
      <c r="DN16" s="657">
        <f t="shared" si="27"/>
        <v>3.8899941346815055E-7</v>
      </c>
      <c r="DO16" s="646">
        <f t="shared" si="83"/>
        <v>1.3805060197542269</v>
      </c>
      <c r="DP16" s="646">
        <f t="shared" si="84"/>
        <v>74.277602121426966</v>
      </c>
      <c r="DQ16" s="657">
        <f t="shared" si="28"/>
        <v>1.1653775521816158E-5</v>
      </c>
      <c r="DR16" s="709">
        <f t="shared" si="29"/>
        <v>8.7488340000000004</v>
      </c>
      <c r="DV16" s="545">
        <f t="shared" si="119"/>
        <v>13</v>
      </c>
      <c r="DW16" s="739">
        <f t="shared" si="30"/>
        <v>13</v>
      </c>
      <c r="DX16" s="655" t="s">
        <v>402</v>
      </c>
      <c r="DY16" s="657">
        <f t="shared" si="31"/>
        <v>2.6623696305768993E-5</v>
      </c>
      <c r="DZ16" s="646">
        <f t="shared" si="32"/>
        <v>106.76656306068595</v>
      </c>
      <c r="EA16" s="709">
        <f t="shared" si="33"/>
        <v>12.575566999999999</v>
      </c>
      <c r="EM16" s="545">
        <f>+EM15+1</f>
        <v>13</v>
      </c>
      <c r="EN16" s="739">
        <f t="shared" si="34"/>
        <v>13</v>
      </c>
      <c r="EO16" s="655" t="s">
        <v>402</v>
      </c>
      <c r="EP16" s="657">
        <f t="shared" si="35"/>
        <v>1.2255957265154835E-5</v>
      </c>
      <c r="EQ16" s="646">
        <f t="shared" si="36"/>
        <v>95.822811248392838</v>
      </c>
      <c r="ER16" s="657">
        <f t="shared" si="37"/>
        <v>2.0490543341806774E-5</v>
      </c>
      <c r="ES16" s="646">
        <f t="shared" si="38"/>
        <v>20.679738108498</v>
      </c>
      <c r="ET16" s="657">
        <f t="shared" si="39"/>
        <v>3.8899941346815055E-7</v>
      </c>
      <c r="EU16" s="646">
        <f t="shared" si="40"/>
        <v>1.6619225364824541</v>
      </c>
      <c r="EV16" s="646">
        <f t="shared" si="41"/>
        <v>118.16447189337329</v>
      </c>
      <c r="EW16" s="657">
        <f t="shared" si="42"/>
        <v>9.0201871244111929E-6</v>
      </c>
      <c r="EX16" s="709">
        <f t="shared" si="43"/>
        <v>13.918077</v>
      </c>
      <c r="FH16" s="545">
        <f>+FH15+1</f>
        <v>13</v>
      </c>
      <c r="FI16" s="669">
        <f t="shared" si="44"/>
        <v>13</v>
      </c>
      <c r="FJ16" s="655" t="s">
        <v>402</v>
      </c>
      <c r="FK16" s="657">
        <f t="shared" si="45"/>
        <v>1.2255957265154835E-5</v>
      </c>
      <c r="FL16" s="646">
        <f t="shared" si="46"/>
        <v>240.5319236659877</v>
      </c>
      <c r="FM16" s="709">
        <f t="shared" si="47"/>
        <v>28.331204</v>
      </c>
      <c r="FQ16" s="543">
        <v>13</v>
      </c>
      <c r="FR16" s="669">
        <v>13</v>
      </c>
      <c r="FS16" s="655" t="s">
        <v>402</v>
      </c>
      <c r="FT16" s="646">
        <f t="shared" si="48"/>
        <v>393.64410690261053</v>
      </c>
      <c r="FU16" s="646">
        <f t="shared" si="49"/>
        <v>93.917890197009612</v>
      </c>
      <c r="FV16" s="646">
        <f t="shared" si="50"/>
        <v>513.77407937365274</v>
      </c>
      <c r="FW16" s="646">
        <f t="shared" si="86"/>
        <v>74.277602121426966</v>
      </c>
      <c r="FX16" s="646">
        <f t="shared" si="51"/>
        <v>106.76656306068595</v>
      </c>
      <c r="FY16" s="646">
        <f t="shared" si="52"/>
        <v>118.16447189337329</v>
      </c>
      <c r="FZ16" s="646">
        <f t="shared" si="53"/>
        <v>240.5319236659877</v>
      </c>
      <c r="GA16" s="646">
        <f t="shared" si="54"/>
        <v>1541.0766372147468</v>
      </c>
      <c r="GB16" s="746">
        <f t="shared" si="55"/>
        <v>181.516683</v>
      </c>
      <c r="GF16" s="545">
        <f t="shared" si="87"/>
        <v>13</v>
      </c>
      <c r="GG16" s="669">
        <f t="shared" si="56"/>
        <v>13</v>
      </c>
      <c r="GH16" s="655" t="s">
        <v>402</v>
      </c>
      <c r="GI16" s="709">
        <f t="shared" si="57"/>
        <v>46.365619000000002</v>
      </c>
      <c r="GJ16" s="709">
        <f t="shared" si="58"/>
        <v>11.062177999999999</v>
      </c>
      <c r="GK16" s="709">
        <f t="shared" si="59"/>
        <v>60.515203999999997</v>
      </c>
      <c r="GL16" s="709">
        <f t="shared" si="60"/>
        <v>8.7488340000000004</v>
      </c>
      <c r="GM16" s="709">
        <f t="shared" si="61"/>
        <v>12.575566999999999</v>
      </c>
      <c r="GN16" s="709">
        <f t="shared" si="62"/>
        <v>13.918077</v>
      </c>
      <c r="GO16" s="709">
        <f t="shared" si="63"/>
        <v>28.331204</v>
      </c>
      <c r="GP16" s="709">
        <f t="shared" si="64"/>
        <v>181.516683</v>
      </c>
      <c r="GQ16" s="656">
        <f t="shared" si="88"/>
        <v>849</v>
      </c>
      <c r="GR16" s="530"/>
      <c r="GU16" s="543">
        <f t="shared" si="89"/>
        <v>13</v>
      </c>
      <c r="GV16" s="669">
        <f t="shared" si="65"/>
        <v>13</v>
      </c>
      <c r="GW16" s="655" t="s">
        <v>402</v>
      </c>
      <c r="GX16" s="658" t="s">
        <v>379</v>
      </c>
      <c r="GY16" s="646">
        <f t="shared" si="90"/>
        <v>1541.0766372147468</v>
      </c>
      <c r="GZ16" s="656">
        <f t="shared" si="66"/>
        <v>849</v>
      </c>
      <c r="HA16" s="709">
        <f t="shared" si="91"/>
        <v>181.516683</v>
      </c>
      <c r="HB16" s="646">
        <f t="shared" si="67"/>
        <v>1541.07663867</v>
      </c>
      <c r="HC16" s="749">
        <f t="shared" si="68"/>
        <v>1.4552531411027303E-6</v>
      </c>
      <c r="HD16" s="549"/>
      <c r="HG16" s="549"/>
      <c r="HH16" s="549"/>
      <c r="HI16" s="549"/>
      <c r="HJ16" s="549"/>
      <c r="HK16" s="549"/>
      <c r="HL16" s="549"/>
      <c r="HM16" s="549"/>
      <c r="HP16" s="545">
        <f t="shared" si="122"/>
        <v>13</v>
      </c>
      <c r="HQ16" s="761">
        <f t="shared" si="69"/>
        <v>13</v>
      </c>
      <c r="HR16" s="655" t="s">
        <v>402</v>
      </c>
      <c r="HS16" s="656">
        <f t="shared" si="92"/>
        <v>849</v>
      </c>
      <c r="HT16" s="756">
        <f t="shared" si="93"/>
        <v>181.516683</v>
      </c>
      <c r="HU16" s="756">
        <v>110.337915</v>
      </c>
      <c r="HV16" s="647">
        <f t="shared" si="94"/>
        <v>0.64509799736563811</v>
      </c>
      <c r="HW16" s="756">
        <f t="shared" si="95"/>
        <v>71.178768000000005</v>
      </c>
      <c r="HX16" s="648">
        <v>10</v>
      </c>
      <c r="IO16" s="545">
        <v>13</v>
      </c>
      <c r="IP16" s="761">
        <v>13</v>
      </c>
      <c r="IQ16" s="655" t="s">
        <v>402</v>
      </c>
      <c r="IR16" s="769">
        <f t="shared" si="96"/>
        <v>1541.0766372147468</v>
      </c>
      <c r="IS16" s="770">
        <f t="shared" si="96"/>
        <v>849</v>
      </c>
      <c r="IT16" s="771">
        <f t="shared" si="96"/>
        <v>181.516683</v>
      </c>
      <c r="IU16" s="656">
        <f t="shared" si="97"/>
        <v>124.95668989249116</v>
      </c>
      <c r="IV16" s="656">
        <f t="shared" si="98"/>
        <v>724.04331010750889</v>
      </c>
      <c r="IW16" s="769">
        <f t="shared" si="123"/>
        <v>1.8743503483873674</v>
      </c>
      <c r="IX16" s="769">
        <f t="shared" si="99"/>
        <v>1539.2022868663594</v>
      </c>
      <c r="IY16" s="550">
        <f t="shared" si="100"/>
        <v>181.29591129167954</v>
      </c>
      <c r="IZ16" s="550">
        <f t="shared" si="101"/>
        <v>182.79591129167954</v>
      </c>
      <c r="JA16" s="769">
        <f t="shared" si="102"/>
        <v>1541.0766372147468</v>
      </c>
      <c r="JB16" s="746">
        <f t="shared" si="103"/>
        <v>0.22077170832045567</v>
      </c>
      <c r="JF16" s="545">
        <f t="shared" si="124"/>
        <v>13</v>
      </c>
      <c r="JG16" s="761">
        <f t="shared" si="70"/>
        <v>13</v>
      </c>
      <c r="JH16" s="655" t="s">
        <v>402</v>
      </c>
      <c r="JI16" s="656">
        <f t="shared" si="104"/>
        <v>849</v>
      </c>
      <c r="JJ16" s="756">
        <f t="shared" si="105"/>
        <v>181.29591129167954</v>
      </c>
      <c r="JK16" s="756">
        <v>110.11568161602861</v>
      </c>
      <c r="JL16" s="647">
        <f t="shared" si="126"/>
        <v>0.64641319593203006</v>
      </c>
      <c r="JM16" s="756">
        <f t="shared" si="107"/>
        <v>71.180229675650935</v>
      </c>
      <c r="JN16" s="648">
        <v>10</v>
      </c>
      <c r="JS16" s="756">
        <v>181.29591129167954</v>
      </c>
      <c r="JT16" s="756">
        <f t="shared" si="108"/>
        <v>0</v>
      </c>
      <c r="JU16" s="1009">
        <v>849</v>
      </c>
      <c r="JV16" s="1009">
        <f t="shared" si="109"/>
        <v>0</v>
      </c>
      <c r="JW16" s="1069">
        <f t="shared" si="110"/>
        <v>0</v>
      </c>
      <c r="JX16" s="997">
        <v>1539.2022868663594</v>
      </c>
      <c r="JY16" s="997">
        <f t="shared" si="111"/>
        <v>1539.2022868663594</v>
      </c>
      <c r="JZ16" s="516"/>
      <c r="KA16" s="516"/>
      <c r="KB16" s="516"/>
      <c r="KC16" s="516"/>
      <c r="KE16" s="516"/>
      <c r="KF16" s="516"/>
    </row>
    <row r="17" spans="2:292" ht="16.5" x14ac:dyDescent="0.3">
      <c r="I17" s="222">
        <f>+I16+1</f>
        <v>14</v>
      </c>
      <c r="J17" s="659">
        <f t="shared" si="1"/>
        <v>14</v>
      </c>
      <c r="K17" s="660" t="s">
        <v>403</v>
      </c>
      <c r="L17" s="991">
        <v>3903996</v>
      </c>
      <c r="M17" s="662">
        <f t="shared" si="2"/>
        <v>1.7887540096372273E-3</v>
      </c>
      <c r="N17" s="661">
        <v>1177</v>
      </c>
      <c r="O17" s="661">
        <f t="shared" si="71"/>
        <v>3316.9039932030587</v>
      </c>
      <c r="P17" s="662">
        <f t="shared" si="3"/>
        <v>1.8722596026239725E-3</v>
      </c>
      <c r="Q17" s="663" t="s">
        <v>384</v>
      </c>
      <c r="U17" s="551">
        <f t="shared" si="113"/>
        <v>14</v>
      </c>
      <c r="V17" s="670">
        <f t="shared" si="4"/>
        <v>14</v>
      </c>
      <c r="W17" s="660" t="s">
        <v>403</v>
      </c>
      <c r="X17" s="671">
        <f t="shared" si="72"/>
        <v>241784.82568380906</v>
      </c>
      <c r="Y17" s="662">
        <f t="shared" si="5"/>
        <v>2.5062195616487254E-3</v>
      </c>
      <c r="AC17" s="551">
        <f>+AC16+1</f>
        <v>14</v>
      </c>
      <c r="AD17" s="681">
        <v>14</v>
      </c>
      <c r="AE17" s="682" t="s">
        <v>403</v>
      </c>
      <c r="AF17" s="683">
        <v>5.35</v>
      </c>
      <c r="AP17" s="551">
        <f t="shared" si="74"/>
        <v>14</v>
      </c>
      <c r="AQ17" s="697">
        <f t="shared" si="6"/>
        <v>14</v>
      </c>
      <c r="AR17" s="660" t="s">
        <v>403</v>
      </c>
      <c r="AS17" s="660">
        <f t="shared" si="7"/>
        <v>5.35</v>
      </c>
      <c r="AT17" s="698">
        <f t="shared" si="75"/>
        <v>3903996</v>
      </c>
      <c r="AU17" s="698">
        <f t="shared" si="115"/>
        <v>5801.7718333333323</v>
      </c>
      <c r="AV17" s="699">
        <f t="shared" si="8"/>
        <v>5992.6970589579087</v>
      </c>
      <c r="AW17" s="700">
        <f t="shared" si="9"/>
        <v>21.592508896755891</v>
      </c>
      <c r="AX17" s="671">
        <f t="shared" si="125"/>
        <v>129397.36456111151</v>
      </c>
      <c r="AY17" s="465">
        <f t="shared" si="76"/>
        <v>3.0924587270104481E-3</v>
      </c>
      <c r="AZ17" s="553">
        <f t="shared" si="10"/>
        <v>3.3144849999999999</v>
      </c>
      <c r="BK17" s="222">
        <f t="shared" si="116"/>
        <v>14</v>
      </c>
      <c r="BL17" s="663">
        <f t="shared" si="11"/>
        <v>14</v>
      </c>
      <c r="BM17" s="660" t="s">
        <v>403</v>
      </c>
      <c r="BN17" s="662">
        <f t="shared" si="77"/>
        <v>3.0924587270104481E-3</v>
      </c>
      <c r="BO17" s="671">
        <f t="shared" si="78"/>
        <v>29646.513934239618</v>
      </c>
      <c r="BP17" s="662">
        <f t="shared" si="79"/>
        <v>1.7887540096372273E-3</v>
      </c>
      <c r="BQ17" s="671">
        <f t="shared" si="80"/>
        <v>17148.27111788253</v>
      </c>
      <c r="BR17" s="710">
        <f t="shared" si="12"/>
        <v>46794.785052122148</v>
      </c>
      <c r="BS17" s="711">
        <f t="shared" si="13"/>
        <v>1.1986380000000001</v>
      </c>
      <c r="BV17" s="15"/>
      <c r="BW17" s="190"/>
      <c r="BX17" s="190"/>
      <c r="BY17" s="190"/>
      <c r="BZ17" s="190"/>
      <c r="CA17" s="190"/>
      <c r="CB17" s="190"/>
      <c r="CC17" s="190"/>
      <c r="CD17" s="190"/>
      <c r="CH17" s="222">
        <f t="shared" si="117"/>
        <v>14</v>
      </c>
      <c r="CI17" s="681">
        <f t="shared" si="15"/>
        <v>14</v>
      </c>
      <c r="CJ17" s="660" t="s">
        <v>403</v>
      </c>
      <c r="CK17" s="723">
        <f t="shared" si="16"/>
        <v>1.7887540096372273E-3</v>
      </c>
      <c r="CL17" s="650">
        <f t="shared" si="17"/>
        <v>10485.208740596372</v>
      </c>
      <c r="CM17" s="723">
        <f t="shared" si="18"/>
        <v>1.8722596026239725E-3</v>
      </c>
      <c r="CN17" s="650">
        <f t="shared" si="19"/>
        <v>35969.81020605762</v>
      </c>
      <c r="CO17" s="650">
        <f t="shared" si="20"/>
        <v>46455.018946653989</v>
      </c>
      <c r="CP17" s="723">
        <f t="shared" si="21"/>
        <v>1.8527376475109944E-3</v>
      </c>
      <c r="CQ17" s="724">
        <f t="shared" si="22"/>
        <v>1.189935</v>
      </c>
      <c r="DD17" s="15"/>
      <c r="DG17" s="551">
        <f t="shared" si="118"/>
        <v>14</v>
      </c>
      <c r="DH17" s="677">
        <f t="shared" si="23"/>
        <v>14</v>
      </c>
      <c r="DI17" s="660" t="s">
        <v>403</v>
      </c>
      <c r="DJ17" s="723">
        <f t="shared" si="24"/>
        <v>1.8527376475109944E-3</v>
      </c>
      <c r="DK17" s="650">
        <f t="shared" si="82"/>
        <v>697.91651636903964</v>
      </c>
      <c r="DL17" s="723">
        <f t="shared" si="25"/>
        <v>1.8722596026239725E-3</v>
      </c>
      <c r="DM17" s="650">
        <f t="shared" si="26"/>
        <v>4583.5452158981743</v>
      </c>
      <c r="DN17" s="723">
        <f t="shared" si="27"/>
        <v>1.7887540096372273E-3</v>
      </c>
      <c r="DO17" s="650">
        <f t="shared" si="83"/>
        <v>6348.0447339180491</v>
      </c>
      <c r="DP17" s="650">
        <f t="shared" si="84"/>
        <v>11629.506466185263</v>
      </c>
      <c r="DQ17" s="723">
        <f t="shared" si="28"/>
        <v>1.8246100293447234E-3</v>
      </c>
      <c r="DR17" s="724">
        <f t="shared" si="29"/>
        <v>0.29788700000000001</v>
      </c>
      <c r="DV17" s="551">
        <f t="shared" si="119"/>
        <v>14</v>
      </c>
      <c r="DW17" s="677">
        <f t="shared" si="30"/>
        <v>14</v>
      </c>
      <c r="DX17" s="660" t="s">
        <v>403</v>
      </c>
      <c r="DY17" s="723">
        <f t="shared" si="31"/>
        <v>1.8722596026239725E-3</v>
      </c>
      <c r="DZ17" s="650">
        <f t="shared" si="32"/>
        <v>7508.1506577361579</v>
      </c>
      <c r="EA17" s="724">
        <f t="shared" si="33"/>
        <v>0.19231999999999999</v>
      </c>
      <c r="EM17" s="551">
        <f t="shared" si="120"/>
        <v>14</v>
      </c>
      <c r="EN17" s="677">
        <f t="shared" si="34"/>
        <v>14</v>
      </c>
      <c r="EO17" s="660" t="s">
        <v>403</v>
      </c>
      <c r="EP17" s="723">
        <f t="shared" si="35"/>
        <v>2.5062195616487254E-3</v>
      </c>
      <c r="EQ17" s="650">
        <f t="shared" si="36"/>
        <v>19594.797763017632</v>
      </c>
      <c r="ER17" s="723">
        <f t="shared" si="37"/>
        <v>1.8527376475109944E-3</v>
      </c>
      <c r="ES17" s="650">
        <f t="shared" si="38"/>
        <v>1869.8444787508336</v>
      </c>
      <c r="ET17" s="723">
        <f t="shared" si="39"/>
        <v>1.7887540096372273E-3</v>
      </c>
      <c r="EU17" s="650">
        <f t="shared" si="40"/>
        <v>7642.0953294904066</v>
      </c>
      <c r="EV17" s="650">
        <f t="shared" si="41"/>
        <v>29106.737571258873</v>
      </c>
      <c r="EW17" s="723">
        <f t="shared" si="42"/>
        <v>2.2218879775538405E-3</v>
      </c>
      <c r="EX17" s="724">
        <f t="shared" si="43"/>
        <v>0.74556299999999998</v>
      </c>
      <c r="FH17" s="551">
        <f t="shared" si="121"/>
        <v>14</v>
      </c>
      <c r="FI17" s="670">
        <f t="shared" si="44"/>
        <v>14</v>
      </c>
      <c r="FJ17" s="660" t="s">
        <v>403</v>
      </c>
      <c r="FK17" s="723">
        <f t="shared" si="45"/>
        <v>2.5062195616487254E-3</v>
      </c>
      <c r="FL17" s="650">
        <f t="shared" si="46"/>
        <v>49186.350706900957</v>
      </c>
      <c r="FM17" s="724">
        <f t="shared" si="47"/>
        <v>1.259898</v>
      </c>
      <c r="FQ17" s="222">
        <v>14</v>
      </c>
      <c r="FR17" s="670">
        <v>14</v>
      </c>
      <c r="FS17" s="660" t="s">
        <v>403</v>
      </c>
      <c r="FT17" s="650">
        <f t="shared" si="48"/>
        <v>129397.36456111151</v>
      </c>
      <c r="FU17" s="650">
        <f t="shared" si="49"/>
        <v>46794.785052122148</v>
      </c>
      <c r="FV17" s="650">
        <f t="shared" si="50"/>
        <v>46455.018946653989</v>
      </c>
      <c r="FW17" s="650">
        <f t="shared" si="86"/>
        <v>11629.506466185263</v>
      </c>
      <c r="FX17" s="650">
        <f t="shared" si="51"/>
        <v>7508.1506577361579</v>
      </c>
      <c r="FY17" s="650">
        <f t="shared" si="52"/>
        <v>29106.737571258873</v>
      </c>
      <c r="FZ17" s="650">
        <f t="shared" si="53"/>
        <v>49186.350706900957</v>
      </c>
      <c r="GA17" s="650">
        <f t="shared" si="54"/>
        <v>320077.91396196885</v>
      </c>
      <c r="GB17" s="747">
        <f t="shared" si="55"/>
        <v>8.1987249999999996</v>
      </c>
      <c r="GF17" s="551">
        <f t="shared" si="87"/>
        <v>14</v>
      </c>
      <c r="GG17" s="670">
        <f t="shared" si="56"/>
        <v>14</v>
      </c>
      <c r="GH17" s="660" t="s">
        <v>403</v>
      </c>
      <c r="GI17" s="724">
        <f t="shared" si="57"/>
        <v>3.3144849999999999</v>
      </c>
      <c r="GJ17" s="724">
        <f t="shared" si="58"/>
        <v>1.1986380000000001</v>
      </c>
      <c r="GK17" s="724">
        <f t="shared" si="59"/>
        <v>1.189935</v>
      </c>
      <c r="GL17" s="724">
        <f t="shared" si="60"/>
        <v>0.29788700000000001</v>
      </c>
      <c r="GM17" s="724">
        <f t="shared" si="61"/>
        <v>0.19231999999999999</v>
      </c>
      <c r="GN17" s="724">
        <f t="shared" si="62"/>
        <v>0.74556299999999998</v>
      </c>
      <c r="GO17" s="724">
        <f t="shared" si="63"/>
        <v>1.259898</v>
      </c>
      <c r="GP17" s="724">
        <f t="shared" si="64"/>
        <v>8.1987249999999996</v>
      </c>
      <c r="GQ17" s="661">
        <f t="shared" si="88"/>
        <v>3903996</v>
      </c>
      <c r="GR17" s="530"/>
      <c r="GU17" s="222">
        <f t="shared" si="89"/>
        <v>14</v>
      </c>
      <c r="GV17" s="670">
        <f t="shared" si="65"/>
        <v>14</v>
      </c>
      <c r="GW17" s="660" t="s">
        <v>403</v>
      </c>
      <c r="GX17" s="663" t="s">
        <v>384</v>
      </c>
      <c r="GY17" s="671">
        <f t="shared" si="90"/>
        <v>320077.91396196885</v>
      </c>
      <c r="GZ17" s="661">
        <f t="shared" si="66"/>
        <v>3903996</v>
      </c>
      <c r="HA17" s="724">
        <f t="shared" si="91"/>
        <v>8.1987249999999996</v>
      </c>
      <c r="HB17" s="650">
        <f t="shared" si="67"/>
        <v>320077.89605099999</v>
      </c>
      <c r="HC17" s="750">
        <f t="shared" si="68"/>
        <v>-1.7910968861542642E-2</v>
      </c>
      <c r="HD17" s="549"/>
      <c r="HG17" s="549"/>
      <c r="HH17" s="549"/>
      <c r="HI17" s="549"/>
      <c r="HJ17" s="549"/>
      <c r="HK17" s="549"/>
      <c r="HL17" s="549"/>
      <c r="HM17" s="549"/>
      <c r="HP17" s="551">
        <f>+HP16+1</f>
        <v>14</v>
      </c>
      <c r="HQ17" s="762">
        <f t="shared" si="69"/>
        <v>14</v>
      </c>
      <c r="HR17" s="660" t="s">
        <v>403</v>
      </c>
      <c r="HS17" s="661">
        <f t="shared" si="92"/>
        <v>3903996</v>
      </c>
      <c r="HT17" s="757">
        <f t="shared" si="93"/>
        <v>8.1987249999999996</v>
      </c>
      <c r="HU17" s="757">
        <v>7.1058779999999997</v>
      </c>
      <c r="HV17" s="651">
        <f t="shared" si="94"/>
        <v>0.15379478792064827</v>
      </c>
      <c r="HW17" s="757">
        <f t="shared" si="95"/>
        <v>1.0928469999999999</v>
      </c>
      <c r="HX17" s="652">
        <v>10</v>
      </c>
      <c r="IO17" s="551">
        <v>14</v>
      </c>
      <c r="IP17" s="762">
        <v>14</v>
      </c>
      <c r="IQ17" s="660" t="s">
        <v>403</v>
      </c>
      <c r="IR17" s="772">
        <f t="shared" si="96"/>
        <v>320077.91396196885</v>
      </c>
      <c r="IS17" s="773">
        <f t="shared" si="96"/>
        <v>3903996</v>
      </c>
      <c r="IT17" s="774">
        <f t="shared" si="96"/>
        <v>8.1987249999999996</v>
      </c>
      <c r="IU17" s="991">
        <v>0</v>
      </c>
      <c r="IV17" s="661">
        <f t="shared" si="98"/>
        <v>3903996</v>
      </c>
      <c r="IW17" s="772">
        <f t="shared" si="123"/>
        <v>0</v>
      </c>
      <c r="IX17" s="772">
        <f t="shared" si="99"/>
        <v>320077.91396196885</v>
      </c>
      <c r="IY17" s="455">
        <f>IT17</f>
        <v>8.1987249999999996</v>
      </c>
      <c r="IZ17" s="555">
        <f t="shared" ref="IZ17" si="127">IY17</f>
        <v>8.1987249999999996</v>
      </c>
      <c r="JA17" s="772">
        <f t="shared" si="102"/>
        <v>320077.89605099999</v>
      </c>
      <c r="JB17" s="778">
        <f t="shared" si="103"/>
        <v>0</v>
      </c>
      <c r="JF17" s="551">
        <f>+JF16+1</f>
        <v>14</v>
      </c>
      <c r="JG17" s="762">
        <f t="shared" si="70"/>
        <v>14</v>
      </c>
      <c r="JH17" s="660" t="s">
        <v>403</v>
      </c>
      <c r="JI17" s="661">
        <f t="shared" si="104"/>
        <v>3903996</v>
      </c>
      <c r="JJ17" s="757">
        <f t="shared" si="105"/>
        <v>8.1987249999999996</v>
      </c>
      <c r="JK17" s="757">
        <v>7.1058779999999997</v>
      </c>
      <c r="JL17" s="651">
        <f t="shared" si="126"/>
        <v>0.15379478792064827</v>
      </c>
      <c r="JM17" s="757">
        <f t="shared" si="107"/>
        <v>1.0928469999999999</v>
      </c>
      <c r="JN17" s="652">
        <v>10</v>
      </c>
      <c r="JS17" s="757">
        <v>8.1987249999999996</v>
      </c>
      <c r="JT17" s="757">
        <f t="shared" si="108"/>
        <v>0</v>
      </c>
      <c r="JU17" s="1010">
        <v>3903996</v>
      </c>
      <c r="JV17" s="1010">
        <f t="shared" si="109"/>
        <v>0</v>
      </c>
      <c r="JW17" s="1069">
        <f t="shared" si="110"/>
        <v>0</v>
      </c>
      <c r="JX17" s="997">
        <v>320077.89605099999</v>
      </c>
      <c r="JY17" s="997">
        <f t="shared" si="111"/>
        <v>320077.89605099999</v>
      </c>
      <c r="JZ17" s="516"/>
      <c r="KA17" s="516"/>
      <c r="KB17" s="516"/>
      <c r="KC17" s="516"/>
      <c r="KE17" s="516"/>
      <c r="KF17" s="516"/>
    </row>
    <row r="18" spans="2:292" ht="16.5" x14ac:dyDescent="0.3">
      <c r="I18" s="543">
        <f t="shared" si="112"/>
        <v>15</v>
      </c>
      <c r="J18" s="654">
        <f t="shared" si="1"/>
        <v>15</v>
      </c>
      <c r="K18" s="655" t="s">
        <v>404</v>
      </c>
      <c r="L18" s="991">
        <v>98512295</v>
      </c>
      <c r="M18" s="657">
        <f t="shared" si="2"/>
        <v>4.5136896318494019E-2</v>
      </c>
      <c r="N18" s="656">
        <v>1642</v>
      </c>
      <c r="O18" s="656">
        <f t="shared" si="71"/>
        <v>59995.307551766142</v>
      </c>
      <c r="P18" s="657">
        <f t="shared" si="3"/>
        <v>3.3864950841613374E-2</v>
      </c>
      <c r="Q18" s="658" t="s">
        <v>379</v>
      </c>
      <c r="U18" s="545">
        <f t="shared" si="113"/>
        <v>15</v>
      </c>
      <c r="V18" s="669">
        <f t="shared" si="4"/>
        <v>15</v>
      </c>
      <c r="W18" s="655" t="s">
        <v>404</v>
      </c>
      <c r="X18" s="646">
        <f t="shared" si="72"/>
        <v>4583596.6444456587</v>
      </c>
      <c r="Y18" s="657">
        <f t="shared" si="5"/>
        <v>4.751125113219385E-2</v>
      </c>
      <c r="AC18" s="545">
        <f t="shared" si="114"/>
        <v>15</v>
      </c>
      <c r="AD18" s="678">
        <v>15</v>
      </c>
      <c r="AE18" s="679" t="s">
        <v>404</v>
      </c>
      <c r="AF18" s="680">
        <v>3.79</v>
      </c>
      <c r="AP18" s="545">
        <f t="shared" si="74"/>
        <v>15</v>
      </c>
      <c r="AQ18" s="693">
        <f t="shared" si="6"/>
        <v>15</v>
      </c>
      <c r="AR18" s="655" t="s">
        <v>404</v>
      </c>
      <c r="AS18" s="655">
        <f t="shared" si="7"/>
        <v>3.79</v>
      </c>
      <c r="AT18" s="694">
        <f t="shared" si="75"/>
        <v>98512295</v>
      </c>
      <c r="AU18" s="694">
        <f t="shared" si="115"/>
        <v>103711.55501388889</v>
      </c>
      <c r="AV18" s="695">
        <f t="shared" si="8"/>
        <v>107124.5041283538</v>
      </c>
      <c r="AW18" s="696">
        <f t="shared" si="9"/>
        <v>21.592508896755891</v>
      </c>
      <c r="AX18" s="646">
        <f>AV18*AW18</f>
        <v>2313086.8084520428</v>
      </c>
      <c r="AY18" s="544">
        <f t="shared" si="76"/>
        <v>5.5280302743353028E-2</v>
      </c>
      <c r="AZ18" s="548">
        <f t="shared" si="10"/>
        <v>2.3480180000000002</v>
      </c>
      <c r="BK18" s="543">
        <f t="shared" si="116"/>
        <v>15</v>
      </c>
      <c r="BL18" s="658">
        <f t="shared" si="11"/>
        <v>15</v>
      </c>
      <c r="BM18" s="655" t="s">
        <v>404</v>
      </c>
      <c r="BN18" s="657">
        <f t="shared" si="77"/>
        <v>5.5280302743353028E-2</v>
      </c>
      <c r="BO18" s="646">
        <f t="shared" si="78"/>
        <v>529956.3907694032</v>
      </c>
      <c r="BP18" s="657">
        <f t="shared" si="79"/>
        <v>4.5136896318494019E-2</v>
      </c>
      <c r="BQ18" s="646">
        <f t="shared" si="80"/>
        <v>432714.46566667169</v>
      </c>
      <c r="BR18" s="708">
        <f t="shared" si="12"/>
        <v>962670.85643607494</v>
      </c>
      <c r="BS18" s="709">
        <f t="shared" si="13"/>
        <v>0.97720899999999999</v>
      </c>
      <c r="BV18" s="15"/>
      <c r="BW18" s="190"/>
      <c r="BX18" s="190"/>
      <c r="BY18" s="190"/>
      <c r="BZ18" s="190"/>
      <c r="CA18" s="190"/>
      <c r="CB18" s="190"/>
      <c r="CC18" s="190"/>
      <c r="CD18" s="190"/>
      <c r="CH18" s="543">
        <f t="shared" si="117"/>
        <v>15</v>
      </c>
      <c r="CI18" s="678">
        <f t="shared" si="15"/>
        <v>15</v>
      </c>
      <c r="CJ18" s="655" t="s">
        <v>404</v>
      </c>
      <c r="CK18" s="657">
        <f t="shared" si="16"/>
        <v>4.5136896318494019E-2</v>
      </c>
      <c r="CL18" s="646">
        <f t="shared" si="17"/>
        <v>264580.69541828637</v>
      </c>
      <c r="CM18" s="657">
        <f t="shared" si="18"/>
        <v>3.3864950841613374E-2</v>
      </c>
      <c r="CN18" s="646">
        <f t="shared" si="19"/>
        <v>650612.68891510274</v>
      </c>
      <c r="CO18" s="646">
        <f t="shared" si="20"/>
        <v>915193.38433338911</v>
      </c>
      <c r="CP18" s="657">
        <f t="shared" si="21"/>
        <v>3.6500108628835216E-2</v>
      </c>
      <c r="CQ18" s="709">
        <f t="shared" si="22"/>
        <v>0.92901400000000001</v>
      </c>
      <c r="DD18" s="15"/>
      <c r="DG18" s="545">
        <f t="shared" si="118"/>
        <v>15</v>
      </c>
      <c r="DH18" s="739">
        <f t="shared" si="23"/>
        <v>15</v>
      </c>
      <c r="DI18" s="655" t="s">
        <v>404</v>
      </c>
      <c r="DJ18" s="657">
        <f t="shared" si="24"/>
        <v>3.6500108628835216E-2</v>
      </c>
      <c r="DK18" s="646">
        <f t="shared" si="82"/>
        <v>13749.398731952431</v>
      </c>
      <c r="DL18" s="657">
        <f t="shared" si="25"/>
        <v>3.3864950841613374E-2</v>
      </c>
      <c r="DM18" s="646">
        <f t="shared" si="26"/>
        <v>82905.98867761757</v>
      </c>
      <c r="DN18" s="657">
        <f t="shared" si="27"/>
        <v>4.5136896318494019E-2</v>
      </c>
      <c r="DO18" s="646">
        <f t="shared" si="83"/>
        <v>160184.7070286269</v>
      </c>
      <c r="DP18" s="646">
        <f t="shared" si="84"/>
        <v>256840.09443819692</v>
      </c>
      <c r="DQ18" s="657">
        <f t="shared" si="28"/>
        <v>4.0296895969954442E-2</v>
      </c>
      <c r="DR18" s="709">
        <f t="shared" si="29"/>
        <v>0.26071899999999998</v>
      </c>
      <c r="DV18" s="545">
        <f t="shared" si="119"/>
        <v>15</v>
      </c>
      <c r="DW18" s="739">
        <f t="shared" si="30"/>
        <v>15</v>
      </c>
      <c r="DX18" s="655" t="s">
        <v>404</v>
      </c>
      <c r="DY18" s="657">
        <f t="shared" si="31"/>
        <v>3.3864950841613374E-2</v>
      </c>
      <c r="DZ18" s="646">
        <f t="shared" si="32"/>
        <v>135805.50078595523</v>
      </c>
      <c r="EA18" s="709">
        <f t="shared" si="33"/>
        <v>0.13785600000000001</v>
      </c>
      <c r="EM18" s="545">
        <f t="shared" si="120"/>
        <v>15</v>
      </c>
      <c r="EN18" s="739">
        <f t="shared" si="34"/>
        <v>15</v>
      </c>
      <c r="EO18" s="655" t="s">
        <v>404</v>
      </c>
      <c r="EP18" s="657">
        <f t="shared" si="35"/>
        <v>4.751125113219385E-2</v>
      </c>
      <c r="EQ18" s="646">
        <f t="shared" si="36"/>
        <v>371465.20266996755</v>
      </c>
      <c r="ER18" s="657">
        <f t="shared" si="37"/>
        <v>3.6500108628835216E-2</v>
      </c>
      <c r="ES18" s="646">
        <f t="shared" si="38"/>
        <v>36837.124071571059</v>
      </c>
      <c r="ET18" s="657">
        <f t="shared" si="39"/>
        <v>4.5136896318494019E-2</v>
      </c>
      <c r="EU18" s="646">
        <f t="shared" si="40"/>
        <v>192838.40186231775</v>
      </c>
      <c r="EV18" s="646">
        <f t="shared" si="41"/>
        <v>601140.72860385641</v>
      </c>
      <c r="EW18" s="657">
        <f t="shared" si="42"/>
        <v>4.5888597251165474E-2</v>
      </c>
      <c r="EX18" s="709">
        <f t="shared" si="43"/>
        <v>0.61021899999999996</v>
      </c>
      <c r="FH18" s="545">
        <f t="shared" si="121"/>
        <v>15</v>
      </c>
      <c r="FI18" s="669">
        <f t="shared" si="44"/>
        <v>15</v>
      </c>
      <c r="FJ18" s="655" t="s">
        <v>404</v>
      </c>
      <c r="FK18" s="657">
        <f t="shared" si="45"/>
        <v>4.751125113219385E-2</v>
      </c>
      <c r="FL18" s="646">
        <f t="shared" si="46"/>
        <v>932442.27140833205</v>
      </c>
      <c r="FM18" s="709">
        <f t="shared" si="47"/>
        <v>0.94652400000000003</v>
      </c>
      <c r="FQ18" s="543">
        <v>15</v>
      </c>
      <c r="FR18" s="669">
        <v>15</v>
      </c>
      <c r="FS18" s="655" t="s">
        <v>404</v>
      </c>
      <c r="FT18" s="646">
        <f t="shared" si="48"/>
        <v>2313086.8084520428</v>
      </c>
      <c r="FU18" s="646">
        <f t="shared" si="49"/>
        <v>962670.85643607494</v>
      </c>
      <c r="FV18" s="646">
        <f t="shared" si="50"/>
        <v>915193.38433338911</v>
      </c>
      <c r="FW18" s="646">
        <f t="shared" si="86"/>
        <v>256840.09443819692</v>
      </c>
      <c r="FX18" s="646">
        <f t="shared" si="51"/>
        <v>135805.50078595523</v>
      </c>
      <c r="FY18" s="646">
        <f t="shared" si="52"/>
        <v>601140.72860385641</v>
      </c>
      <c r="FZ18" s="646">
        <f t="shared" si="53"/>
        <v>932442.27140833205</v>
      </c>
      <c r="GA18" s="646">
        <f t="shared" si="54"/>
        <v>6117179.6444578469</v>
      </c>
      <c r="GB18" s="746">
        <f t="shared" si="55"/>
        <v>6.2095599999999997</v>
      </c>
      <c r="GF18" s="545">
        <f t="shared" si="87"/>
        <v>15</v>
      </c>
      <c r="GG18" s="669">
        <f t="shared" si="56"/>
        <v>15</v>
      </c>
      <c r="GH18" s="655" t="s">
        <v>404</v>
      </c>
      <c r="GI18" s="709">
        <f t="shared" si="57"/>
        <v>2.3480180000000002</v>
      </c>
      <c r="GJ18" s="709">
        <f t="shared" si="58"/>
        <v>0.97720899999999999</v>
      </c>
      <c r="GK18" s="709">
        <f t="shared" si="59"/>
        <v>0.92901400000000001</v>
      </c>
      <c r="GL18" s="709">
        <f t="shared" si="60"/>
        <v>0.26071899999999998</v>
      </c>
      <c r="GM18" s="709">
        <f t="shared" si="61"/>
        <v>0.13785600000000001</v>
      </c>
      <c r="GN18" s="709">
        <f t="shared" si="62"/>
        <v>0.61021899999999996</v>
      </c>
      <c r="GO18" s="709">
        <f t="shared" si="63"/>
        <v>0.94652400000000003</v>
      </c>
      <c r="GP18" s="709">
        <f t="shared" si="64"/>
        <v>6.2095599999999997</v>
      </c>
      <c r="GQ18" s="656">
        <f t="shared" si="88"/>
        <v>98512295</v>
      </c>
      <c r="GR18" s="530"/>
      <c r="GU18" s="543">
        <f t="shared" si="89"/>
        <v>15</v>
      </c>
      <c r="GV18" s="669">
        <f t="shared" si="65"/>
        <v>15</v>
      </c>
      <c r="GW18" s="655" t="s">
        <v>404</v>
      </c>
      <c r="GX18" s="658" t="s">
        <v>379</v>
      </c>
      <c r="GY18" s="646">
        <f t="shared" si="90"/>
        <v>6117179.6444578469</v>
      </c>
      <c r="GZ18" s="656">
        <f t="shared" si="66"/>
        <v>98512295</v>
      </c>
      <c r="HA18" s="709">
        <f t="shared" si="91"/>
        <v>6.2095599999999997</v>
      </c>
      <c r="HB18" s="646">
        <f t="shared" si="67"/>
        <v>6117180.0654020002</v>
      </c>
      <c r="HC18" s="749">
        <f t="shared" si="68"/>
        <v>0.42094415333122015</v>
      </c>
      <c r="HD18" s="549"/>
      <c r="HG18" s="549"/>
      <c r="HH18" s="549"/>
      <c r="HI18" s="549"/>
      <c r="HJ18" s="549"/>
      <c r="HK18" s="549"/>
      <c r="HL18" s="549"/>
      <c r="HM18" s="549"/>
      <c r="HP18" s="545">
        <f t="shared" si="122"/>
        <v>15</v>
      </c>
      <c r="HQ18" s="761">
        <f t="shared" si="69"/>
        <v>15</v>
      </c>
      <c r="HR18" s="655" t="s">
        <v>404</v>
      </c>
      <c r="HS18" s="656">
        <f t="shared" si="92"/>
        <v>98512295</v>
      </c>
      <c r="HT18" s="756">
        <f t="shared" si="93"/>
        <v>6.2095599999999997</v>
      </c>
      <c r="HU18" s="756">
        <v>5.4117150000000001</v>
      </c>
      <c r="HV18" s="647">
        <f t="shared" si="94"/>
        <v>0.14742923454025192</v>
      </c>
      <c r="HW18" s="756">
        <f t="shared" si="95"/>
        <v>0.79784499999999969</v>
      </c>
      <c r="HX18" s="648">
        <v>10</v>
      </c>
      <c r="IO18" s="545">
        <v>15</v>
      </c>
      <c r="IP18" s="761">
        <v>15</v>
      </c>
      <c r="IQ18" s="655" t="s">
        <v>404</v>
      </c>
      <c r="IR18" s="769">
        <f t="shared" si="96"/>
        <v>6117179.6444578469</v>
      </c>
      <c r="IS18" s="770">
        <f t="shared" si="96"/>
        <v>98512295</v>
      </c>
      <c r="IT18" s="771">
        <f t="shared" si="96"/>
        <v>6.2095599999999997</v>
      </c>
      <c r="IU18" s="656">
        <f t="shared" si="97"/>
        <v>14499140.514620267</v>
      </c>
      <c r="IV18" s="656">
        <f t="shared" si="98"/>
        <v>84013154.485379726</v>
      </c>
      <c r="IW18" s="769">
        <f t="shared" si="123"/>
        <v>217487.10771930398</v>
      </c>
      <c r="IX18" s="769">
        <f>IR18-IW18</f>
        <v>5899692.5367385428</v>
      </c>
      <c r="IY18" s="550">
        <f t="shared" si="100"/>
        <v>5.9887880357863379</v>
      </c>
      <c r="IZ18" s="550">
        <f>IY18+1.5</f>
        <v>7.4887880357863379</v>
      </c>
      <c r="JA18" s="769">
        <f>(IY18*IV18+IZ18*IU18)/100</f>
        <v>6117179.6444578459</v>
      </c>
      <c r="JB18" s="746">
        <f>IT18-IY18</f>
        <v>0.22077196421366185</v>
      </c>
      <c r="JF18" s="545">
        <f t="shared" si="124"/>
        <v>15</v>
      </c>
      <c r="JG18" s="761">
        <f t="shared" si="70"/>
        <v>15</v>
      </c>
      <c r="JH18" s="655" t="s">
        <v>404</v>
      </c>
      <c r="JI18" s="656">
        <f t="shared" si="104"/>
        <v>98512295</v>
      </c>
      <c r="JJ18" s="756">
        <f t="shared" si="105"/>
        <v>5.9887880357863379</v>
      </c>
      <c r="JK18" s="756">
        <v>5.1894820836816677</v>
      </c>
      <c r="JL18" s="647">
        <f t="shared" si="126"/>
        <v>0.15402422423194961</v>
      </c>
      <c r="JM18" s="756">
        <f t="shared" si="107"/>
        <v>0.79930595210467015</v>
      </c>
      <c r="JN18" s="648">
        <v>10</v>
      </c>
      <c r="JS18" s="756">
        <v>5.9887880357863379</v>
      </c>
      <c r="JT18" s="756">
        <f t="shared" si="108"/>
        <v>0</v>
      </c>
      <c r="JU18" s="1009">
        <v>98512295</v>
      </c>
      <c r="JV18" s="1009">
        <f t="shared" si="109"/>
        <v>0</v>
      </c>
      <c r="JW18" s="1069">
        <f t="shared" si="110"/>
        <v>0</v>
      </c>
      <c r="JX18" s="997">
        <v>5899692.5367385419</v>
      </c>
      <c r="JY18" s="997">
        <f t="shared" si="111"/>
        <v>5899692.5367385419</v>
      </c>
      <c r="JZ18" s="516"/>
      <c r="KA18" s="516"/>
      <c r="KB18" s="516"/>
      <c r="KC18" s="516"/>
      <c r="KE18" s="516"/>
      <c r="KF18" s="516"/>
    </row>
    <row r="19" spans="2:292" ht="16.5" x14ac:dyDescent="0.3">
      <c r="B19" s="18"/>
      <c r="I19" s="222">
        <f t="shared" si="112"/>
        <v>16</v>
      </c>
      <c r="J19" s="659">
        <f t="shared" si="1"/>
        <v>16</v>
      </c>
      <c r="K19" s="660" t="s">
        <v>405</v>
      </c>
      <c r="L19" s="991">
        <v>10319127</v>
      </c>
      <c r="M19" s="662">
        <f t="shared" si="2"/>
        <v>4.7280734399332818E-3</v>
      </c>
      <c r="N19" s="661">
        <v>284</v>
      </c>
      <c r="O19" s="661">
        <f t="shared" si="71"/>
        <v>36334.954225352114</v>
      </c>
      <c r="P19" s="662">
        <f t="shared" si="3"/>
        <v>2.0509627984023872E-2</v>
      </c>
      <c r="Q19" s="663" t="s">
        <v>379</v>
      </c>
      <c r="U19" s="551">
        <f t="shared" si="113"/>
        <v>16</v>
      </c>
      <c r="V19" s="670">
        <f t="shared" si="4"/>
        <v>16</v>
      </c>
      <c r="W19" s="660" t="s">
        <v>405</v>
      </c>
      <c r="X19" s="671">
        <f t="shared" si="72"/>
        <v>1371486.630859253</v>
      </c>
      <c r="Y19" s="662">
        <f t="shared" si="5"/>
        <v>1.4216138722014666E-2</v>
      </c>
      <c r="AC19" s="551">
        <f t="shared" si="114"/>
        <v>16</v>
      </c>
      <c r="AD19" s="681">
        <v>16</v>
      </c>
      <c r="AE19" s="682" t="s">
        <v>405</v>
      </c>
      <c r="AF19" s="683">
        <v>9.5299999999999994</v>
      </c>
      <c r="AP19" s="551">
        <f t="shared" si="74"/>
        <v>16</v>
      </c>
      <c r="AQ19" s="697">
        <f t="shared" si="6"/>
        <v>16</v>
      </c>
      <c r="AR19" s="660" t="s">
        <v>405</v>
      </c>
      <c r="AS19" s="660">
        <f t="shared" si="7"/>
        <v>9.5299999999999994</v>
      </c>
      <c r="AT19" s="698">
        <f t="shared" si="75"/>
        <v>10319127</v>
      </c>
      <c r="AU19" s="698">
        <f t="shared" si="115"/>
        <v>27317.022308333329</v>
      </c>
      <c r="AV19" s="699">
        <f t="shared" si="8"/>
        <v>28215.973318030934</v>
      </c>
      <c r="AW19" s="700">
        <f t="shared" si="9"/>
        <v>21.592508896755891</v>
      </c>
      <c r="AX19" s="671">
        <f t="shared" si="125"/>
        <v>609253.65490020975</v>
      </c>
      <c r="AY19" s="465">
        <f t="shared" si="76"/>
        <v>1.4560511247270038E-2</v>
      </c>
      <c r="AZ19" s="553">
        <f t="shared" si="10"/>
        <v>5.9041199999999998</v>
      </c>
      <c r="BK19" s="222">
        <f t="shared" si="116"/>
        <v>16</v>
      </c>
      <c r="BL19" s="663">
        <f t="shared" si="11"/>
        <v>16</v>
      </c>
      <c r="BM19" s="660" t="s">
        <v>405</v>
      </c>
      <c r="BN19" s="662">
        <f t="shared" si="77"/>
        <v>1.4560511247270038E-2</v>
      </c>
      <c r="BO19" s="671">
        <f t="shared" si="78"/>
        <v>139587.44083195826</v>
      </c>
      <c r="BP19" s="662">
        <f t="shared" si="79"/>
        <v>4.7280734399332818E-3</v>
      </c>
      <c r="BQ19" s="671">
        <f t="shared" si="80"/>
        <v>45326.682582631183</v>
      </c>
      <c r="BR19" s="710">
        <f t="shared" si="12"/>
        <v>184914.12341458944</v>
      </c>
      <c r="BS19" s="711">
        <f t="shared" si="13"/>
        <v>1.791955</v>
      </c>
      <c r="BV19" s="15"/>
      <c r="BW19" s="190"/>
      <c r="BX19" s="190"/>
      <c r="BY19" s="190"/>
      <c r="BZ19" s="190"/>
      <c r="CA19" s="190"/>
      <c r="CB19" s="190"/>
      <c r="CC19" s="190"/>
      <c r="CD19" s="190"/>
      <c r="CH19" s="222">
        <f t="shared" si="117"/>
        <v>16</v>
      </c>
      <c r="CI19" s="681">
        <f t="shared" si="15"/>
        <v>16</v>
      </c>
      <c r="CJ19" s="660" t="s">
        <v>405</v>
      </c>
      <c r="CK19" s="723">
        <f t="shared" si="16"/>
        <v>4.7280734399332818E-3</v>
      </c>
      <c r="CL19" s="650">
        <f t="shared" si="17"/>
        <v>27714.731422809866</v>
      </c>
      <c r="CM19" s="723">
        <f t="shared" si="18"/>
        <v>2.0509627984023872E-2</v>
      </c>
      <c r="CN19" s="650">
        <f t="shared" si="19"/>
        <v>394030.5206330691</v>
      </c>
      <c r="CO19" s="650">
        <f t="shared" si="20"/>
        <v>421745.25205587898</v>
      </c>
      <c r="CP19" s="723">
        <f t="shared" si="21"/>
        <v>1.682021283944006E-2</v>
      </c>
      <c r="CQ19" s="724">
        <f t="shared" si="22"/>
        <v>4.0870249999999997</v>
      </c>
      <c r="DD19" s="15"/>
      <c r="DG19" s="551">
        <f t="shared" si="118"/>
        <v>16</v>
      </c>
      <c r="DH19" s="677">
        <f t="shared" si="23"/>
        <v>16</v>
      </c>
      <c r="DI19" s="660" t="s">
        <v>405</v>
      </c>
      <c r="DJ19" s="723">
        <f t="shared" si="24"/>
        <v>1.682021283944006E-2</v>
      </c>
      <c r="DK19" s="650">
        <f t="shared" si="82"/>
        <v>6336.0856110730801</v>
      </c>
      <c r="DL19" s="723">
        <f t="shared" si="25"/>
        <v>2.0509627984023872E-2</v>
      </c>
      <c r="DM19" s="650">
        <f t="shared" si="26"/>
        <v>50210.348551169591</v>
      </c>
      <c r="DN19" s="723">
        <f t="shared" si="27"/>
        <v>4.7280734399332818E-3</v>
      </c>
      <c r="DO19" s="650">
        <f t="shared" si="83"/>
        <v>16779.289684462165</v>
      </c>
      <c r="DP19" s="650">
        <f t="shared" si="84"/>
        <v>73325.723846704845</v>
      </c>
      <c r="DQ19" s="723">
        <f t="shared" si="28"/>
        <v>1.1504430693484587E-2</v>
      </c>
      <c r="DR19" s="724">
        <f t="shared" si="29"/>
        <v>0.71058100000000002</v>
      </c>
      <c r="DV19" s="551">
        <f t="shared" si="119"/>
        <v>16</v>
      </c>
      <c r="DW19" s="677">
        <f t="shared" si="30"/>
        <v>16</v>
      </c>
      <c r="DX19" s="660" t="s">
        <v>405</v>
      </c>
      <c r="DY19" s="723">
        <f t="shared" si="31"/>
        <v>2.0509627984023872E-2</v>
      </c>
      <c r="DZ19" s="650">
        <f t="shared" si="32"/>
        <v>82247.876641869836</v>
      </c>
      <c r="EA19" s="724">
        <f t="shared" si="33"/>
        <v>0.79704299999999995</v>
      </c>
      <c r="EM19" s="551">
        <f t="shared" si="120"/>
        <v>16</v>
      </c>
      <c r="EN19" s="677">
        <f t="shared" si="34"/>
        <v>16</v>
      </c>
      <c r="EO19" s="660" t="s">
        <v>405</v>
      </c>
      <c r="EP19" s="723">
        <f t="shared" si="35"/>
        <v>1.4216138722014666E-2</v>
      </c>
      <c r="EQ19" s="650">
        <f t="shared" si="36"/>
        <v>111148.42749277246</v>
      </c>
      <c r="ER19" s="723">
        <f t="shared" si="37"/>
        <v>1.682021283944006E-2</v>
      </c>
      <c r="ES19" s="650">
        <f t="shared" si="38"/>
        <v>16975.518445092879</v>
      </c>
      <c r="ET19" s="723">
        <f t="shared" si="39"/>
        <v>4.7280734399332818E-3</v>
      </c>
      <c r="EU19" s="650">
        <f t="shared" si="40"/>
        <v>20199.752318167935</v>
      </c>
      <c r="EV19" s="650">
        <f t="shared" si="41"/>
        <v>148323.69825603327</v>
      </c>
      <c r="EW19" s="723">
        <f t="shared" si="42"/>
        <v>1.132241774381554E-2</v>
      </c>
      <c r="EX19" s="724">
        <f t="shared" si="43"/>
        <v>1.4373670000000001</v>
      </c>
      <c r="FH19" s="551">
        <f t="shared" si="121"/>
        <v>16</v>
      </c>
      <c r="FI19" s="670">
        <f t="shared" si="44"/>
        <v>16</v>
      </c>
      <c r="FJ19" s="660" t="s">
        <v>405</v>
      </c>
      <c r="FK19" s="723">
        <f t="shared" si="45"/>
        <v>1.4216138722014666E-2</v>
      </c>
      <c r="FL19" s="650">
        <f t="shared" si="46"/>
        <v>279001.8861791066</v>
      </c>
      <c r="FM19" s="724">
        <f t="shared" si="47"/>
        <v>2.703735</v>
      </c>
      <c r="FQ19" s="222">
        <v>16</v>
      </c>
      <c r="FR19" s="670">
        <v>16</v>
      </c>
      <c r="FS19" s="660" t="s">
        <v>405</v>
      </c>
      <c r="FT19" s="650">
        <f t="shared" si="48"/>
        <v>609253.65490020975</v>
      </c>
      <c r="FU19" s="650">
        <f t="shared" si="49"/>
        <v>184914.12341458944</v>
      </c>
      <c r="FV19" s="650">
        <f t="shared" si="50"/>
        <v>421745.25205587898</v>
      </c>
      <c r="FW19" s="650">
        <f t="shared" si="86"/>
        <v>73325.723846704845</v>
      </c>
      <c r="FX19" s="650">
        <f t="shared" si="51"/>
        <v>82247.876641869836</v>
      </c>
      <c r="FY19" s="650">
        <f t="shared" si="52"/>
        <v>148323.69825603327</v>
      </c>
      <c r="FZ19" s="650">
        <f t="shared" si="53"/>
        <v>279001.8861791066</v>
      </c>
      <c r="GA19" s="650">
        <f t="shared" si="54"/>
        <v>1798812.2152943928</v>
      </c>
      <c r="GB19" s="747">
        <f t="shared" si="55"/>
        <v>17.431826000000001</v>
      </c>
      <c r="GF19" s="551">
        <f t="shared" si="87"/>
        <v>16</v>
      </c>
      <c r="GG19" s="670">
        <f t="shared" si="56"/>
        <v>16</v>
      </c>
      <c r="GH19" s="660" t="s">
        <v>405</v>
      </c>
      <c r="GI19" s="724">
        <f t="shared" si="57"/>
        <v>5.9041199999999998</v>
      </c>
      <c r="GJ19" s="724">
        <f t="shared" si="58"/>
        <v>1.791955</v>
      </c>
      <c r="GK19" s="724">
        <f t="shared" si="59"/>
        <v>4.0870249999999997</v>
      </c>
      <c r="GL19" s="724">
        <f t="shared" si="60"/>
        <v>0.71058100000000002</v>
      </c>
      <c r="GM19" s="724">
        <f t="shared" si="61"/>
        <v>0.79704299999999995</v>
      </c>
      <c r="GN19" s="724">
        <f t="shared" si="62"/>
        <v>1.4373670000000001</v>
      </c>
      <c r="GO19" s="724">
        <f t="shared" si="63"/>
        <v>2.703735</v>
      </c>
      <c r="GP19" s="724">
        <f t="shared" si="64"/>
        <v>17.431826000000001</v>
      </c>
      <c r="GQ19" s="661">
        <f t="shared" si="88"/>
        <v>10319127</v>
      </c>
      <c r="GR19" s="530"/>
      <c r="GU19" s="222">
        <f t="shared" si="89"/>
        <v>16</v>
      </c>
      <c r="GV19" s="670">
        <f t="shared" si="65"/>
        <v>16</v>
      </c>
      <c r="GW19" s="660" t="s">
        <v>405</v>
      </c>
      <c r="GX19" s="663" t="s">
        <v>379</v>
      </c>
      <c r="GY19" s="671">
        <f t="shared" si="90"/>
        <v>1798812.2152943928</v>
      </c>
      <c r="GZ19" s="661">
        <f t="shared" si="66"/>
        <v>10319127</v>
      </c>
      <c r="HA19" s="724">
        <f t="shared" si="91"/>
        <v>17.431826000000001</v>
      </c>
      <c r="HB19" s="650">
        <f t="shared" si="67"/>
        <v>1798812.26335902</v>
      </c>
      <c r="HC19" s="750">
        <f t="shared" si="68"/>
        <v>4.8064627218991518E-2</v>
      </c>
      <c r="HD19" s="549"/>
      <c r="HG19" s="549"/>
      <c r="HH19" s="549"/>
      <c r="HI19" s="549"/>
      <c r="HJ19" s="549"/>
      <c r="HK19" s="549"/>
      <c r="HL19" s="549"/>
      <c r="HM19" s="549"/>
      <c r="HP19" s="551">
        <f t="shared" si="122"/>
        <v>16</v>
      </c>
      <c r="HQ19" s="762">
        <f t="shared" si="69"/>
        <v>16</v>
      </c>
      <c r="HR19" s="660" t="s">
        <v>405</v>
      </c>
      <c r="HS19" s="661">
        <f t="shared" si="92"/>
        <v>10319127</v>
      </c>
      <c r="HT19" s="757">
        <f t="shared" si="93"/>
        <v>17.431826000000001</v>
      </c>
      <c r="HU19" s="757">
        <v>15.408874000000001</v>
      </c>
      <c r="HV19" s="651">
        <f t="shared" si="94"/>
        <v>0.13128486870617539</v>
      </c>
      <c r="HW19" s="757">
        <f t="shared" si="95"/>
        <v>2.0229520000000001</v>
      </c>
      <c r="HX19" s="652">
        <v>25</v>
      </c>
      <c r="IO19" s="551">
        <v>16</v>
      </c>
      <c r="IP19" s="762">
        <v>16</v>
      </c>
      <c r="IQ19" s="660" t="s">
        <v>405</v>
      </c>
      <c r="IR19" s="772">
        <f t="shared" si="96"/>
        <v>1798812.2152943928</v>
      </c>
      <c r="IS19" s="773">
        <f t="shared" si="96"/>
        <v>10319127</v>
      </c>
      <c r="IT19" s="774">
        <f t="shared" si="96"/>
        <v>17.431826000000001</v>
      </c>
      <c r="IU19" s="661">
        <f t="shared" si="97"/>
        <v>1518779.6849237133</v>
      </c>
      <c r="IV19" s="661">
        <f t="shared" si="98"/>
        <v>8800347.315076286</v>
      </c>
      <c r="IW19" s="772">
        <f t="shared" si="123"/>
        <v>22781.695273855697</v>
      </c>
      <c r="IX19" s="772">
        <f t="shared" si="99"/>
        <v>1776030.5200205371</v>
      </c>
      <c r="IY19" s="455">
        <f t="shared" si="100"/>
        <v>17.211053997305559</v>
      </c>
      <c r="IZ19" s="555">
        <f t="shared" si="101"/>
        <v>18.711053997305559</v>
      </c>
      <c r="JA19" s="772">
        <f t="shared" si="102"/>
        <v>1798812.2152943928</v>
      </c>
      <c r="JB19" s="778">
        <f t="shared" si="103"/>
        <v>0.22077200269444219</v>
      </c>
      <c r="JF19" s="551">
        <f t="shared" si="124"/>
        <v>16</v>
      </c>
      <c r="JG19" s="762">
        <f t="shared" si="70"/>
        <v>16</v>
      </c>
      <c r="JH19" s="660" t="s">
        <v>405</v>
      </c>
      <c r="JI19" s="661">
        <f t="shared" si="104"/>
        <v>10319127</v>
      </c>
      <c r="JJ19" s="757">
        <f t="shared" si="105"/>
        <v>17.211053997305559</v>
      </c>
      <c r="JK19" s="757">
        <v>15.186640462678744</v>
      </c>
      <c r="JL19" s="651">
        <f t="shared" si="126"/>
        <v>0.13330226257754796</v>
      </c>
      <c r="JM19" s="757">
        <f t="shared" si="107"/>
        <v>2.0244135346268148</v>
      </c>
      <c r="JN19" s="652">
        <v>25</v>
      </c>
      <c r="JS19" s="757">
        <v>17.211053997305559</v>
      </c>
      <c r="JT19" s="757">
        <f t="shared" si="108"/>
        <v>0</v>
      </c>
      <c r="JU19" s="1010">
        <v>10319127</v>
      </c>
      <c r="JV19" s="1010">
        <f t="shared" si="109"/>
        <v>0</v>
      </c>
      <c r="JW19" s="1069">
        <f t="shared" si="110"/>
        <v>0</v>
      </c>
      <c r="JX19" s="997">
        <v>1776030.5200205371</v>
      </c>
      <c r="JY19" s="997">
        <f t="shared" si="111"/>
        <v>1776030.5200205371</v>
      </c>
      <c r="JZ19" s="516"/>
      <c r="KA19" s="516"/>
      <c r="KB19" s="516"/>
      <c r="KC19" s="516"/>
      <c r="KE19" s="516"/>
      <c r="KF19" s="516"/>
    </row>
    <row r="20" spans="2:292" ht="16.5" x14ac:dyDescent="0.3">
      <c r="I20" s="543">
        <f t="shared" si="112"/>
        <v>17</v>
      </c>
      <c r="J20" s="654">
        <f t="shared" si="1"/>
        <v>17</v>
      </c>
      <c r="K20" s="655" t="s">
        <v>406</v>
      </c>
      <c r="L20" s="991">
        <v>537876661</v>
      </c>
      <c r="M20" s="657">
        <f t="shared" si="2"/>
        <v>0.24644723868929005</v>
      </c>
      <c r="N20" s="656">
        <v>1263</v>
      </c>
      <c r="O20" s="656">
        <f t="shared" si="71"/>
        <v>425872.25732383213</v>
      </c>
      <c r="P20" s="657">
        <f t="shared" si="3"/>
        <v>0.24038785111043137</v>
      </c>
      <c r="Q20" s="658" t="s">
        <v>379</v>
      </c>
      <c r="U20" s="545">
        <f t="shared" si="113"/>
        <v>17</v>
      </c>
      <c r="V20" s="669">
        <f t="shared" si="4"/>
        <v>17</v>
      </c>
      <c r="W20" s="655" t="s">
        <v>406</v>
      </c>
      <c r="X20" s="646">
        <f t="shared" si="72"/>
        <v>21633739.006342668</v>
      </c>
      <c r="Y20" s="657">
        <f t="shared" si="5"/>
        <v>0.22424442781286494</v>
      </c>
      <c r="AC20" s="545">
        <f t="shared" si="114"/>
        <v>17</v>
      </c>
      <c r="AD20" s="678">
        <v>17</v>
      </c>
      <c r="AE20" s="679" t="s">
        <v>406</v>
      </c>
      <c r="AF20" s="680">
        <v>2.61</v>
      </c>
      <c r="AP20" s="545">
        <f t="shared" si="74"/>
        <v>17</v>
      </c>
      <c r="AQ20" s="693">
        <f t="shared" si="6"/>
        <v>17</v>
      </c>
      <c r="AR20" s="655" t="s">
        <v>406</v>
      </c>
      <c r="AS20" s="655">
        <f t="shared" si="7"/>
        <v>2.61</v>
      </c>
      <c r="AT20" s="694">
        <f t="shared" si="75"/>
        <v>537876661</v>
      </c>
      <c r="AU20" s="694">
        <f t="shared" si="115"/>
        <v>389960.57922499999</v>
      </c>
      <c r="AV20" s="695">
        <f t="shared" si="8"/>
        <v>402793.4367919697</v>
      </c>
      <c r="AW20" s="696">
        <f t="shared" si="9"/>
        <v>21.592508896755891</v>
      </c>
      <c r="AX20" s="646">
        <f t="shared" si="125"/>
        <v>8697320.8674854878</v>
      </c>
      <c r="AY20" s="544">
        <f t="shared" si="76"/>
        <v>0.2078566739708454</v>
      </c>
      <c r="AZ20" s="548">
        <f t="shared" si="10"/>
        <v>1.616973</v>
      </c>
      <c r="BK20" s="543">
        <f t="shared" si="116"/>
        <v>17</v>
      </c>
      <c r="BL20" s="658">
        <f t="shared" si="11"/>
        <v>17</v>
      </c>
      <c r="BM20" s="655" t="s">
        <v>406</v>
      </c>
      <c r="BN20" s="657">
        <f t="shared" si="77"/>
        <v>0.2078566739708454</v>
      </c>
      <c r="BO20" s="646">
        <f t="shared" si="78"/>
        <v>1992662.2552400357</v>
      </c>
      <c r="BP20" s="657">
        <f t="shared" si="79"/>
        <v>0.24644723868929005</v>
      </c>
      <c r="BQ20" s="646">
        <f t="shared" si="80"/>
        <v>2362618.9193865447</v>
      </c>
      <c r="BR20" s="708">
        <f t="shared" si="12"/>
        <v>4355281.1746265804</v>
      </c>
      <c r="BS20" s="709">
        <f t="shared" si="13"/>
        <v>0.80971700000000002</v>
      </c>
      <c r="BV20" s="15"/>
      <c r="BW20" s="190"/>
      <c r="BX20" s="190"/>
      <c r="BY20" s="190"/>
      <c r="BZ20" s="190"/>
      <c r="CA20" s="190"/>
      <c r="CB20" s="190"/>
      <c r="CC20" s="190"/>
      <c r="CD20" s="190"/>
      <c r="CH20" s="543">
        <f t="shared" si="117"/>
        <v>17</v>
      </c>
      <c r="CI20" s="678">
        <f t="shared" si="15"/>
        <v>17</v>
      </c>
      <c r="CJ20" s="655" t="s">
        <v>406</v>
      </c>
      <c r="CK20" s="657">
        <f t="shared" si="16"/>
        <v>0.24644723868929005</v>
      </c>
      <c r="CL20" s="646">
        <f t="shared" si="17"/>
        <v>1444609.3354808746</v>
      </c>
      <c r="CM20" s="657">
        <f t="shared" si="18"/>
        <v>0.24038785111043137</v>
      </c>
      <c r="CN20" s="646">
        <f t="shared" si="19"/>
        <v>4618326.0954655511</v>
      </c>
      <c r="CO20" s="646">
        <f t="shared" si="20"/>
        <v>6062935.4309464255</v>
      </c>
      <c r="CP20" s="657">
        <f t="shared" si="21"/>
        <v>0.24180441601459768</v>
      </c>
      <c r="CQ20" s="709">
        <f t="shared" si="22"/>
        <v>1.1271979999999999</v>
      </c>
      <c r="DD20" s="15"/>
      <c r="DG20" s="545">
        <f t="shared" si="118"/>
        <v>17</v>
      </c>
      <c r="DH20" s="739">
        <f t="shared" si="23"/>
        <v>17</v>
      </c>
      <c r="DI20" s="655" t="s">
        <v>406</v>
      </c>
      <c r="DJ20" s="657">
        <f t="shared" si="24"/>
        <v>0.24180441601459768</v>
      </c>
      <c r="DK20" s="646">
        <f t="shared" si="82"/>
        <v>91086.45031004402</v>
      </c>
      <c r="DL20" s="657">
        <f t="shared" si="25"/>
        <v>0.24038785111043137</v>
      </c>
      <c r="DM20" s="646">
        <f t="shared" si="26"/>
        <v>588502.03431887715</v>
      </c>
      <c r="DN20" s="657">
        <f t="shared" si="27"/>
        <v>0.24644723868929005</v>
      </c>
      <c r="DO20" s="646">
        <f t="shared" si="83"/>
        <v>874607.73662638839</v>
      </c>
      <c r="DP20" s="646">
        <f t="shared" si="84"/>
        <v>1554196.2212553094</v>
      </c>
      <c r="DQ20" s="657">
        <f t="shared" si="28"/>
        <v>0.24384543068252101</v>
      </c>
      <c r="DR20" s="709">
        <f t="shared" si="29"/>
        <v>0.28894999999999998</v>
      </c>
      <c r="DV20" s="545">
        <f t="shared" si="119"/>
        <v>17</v>
      </c>
      <c r="DW20" s="739">
        <f t="shared" si="30"/>
        <v>17</v>
      </c>
      <c r="DX20" s="655" t="s">
        <v>406</v>
      </c>
      <c r="DY20" s="657">
        <f t="shared" si="31"/>
        <v>0.24038785111043137</v>
      </c>
      <c r="DZ20" s="646">
        <f t="shared" si="32"/>
        <v>964005.31202886789</v>
      </c>
      <c r="EA20" s="709">
        <f t="shared" si="33"/>
        <v>0.17922399999999999</v>
      </c>
      <c r="EM20" s="545">
        <f t="shared" si="120"/>
        <v>17</v>
      </c>
      <c r="EN20" s="739">
        <f t="shared" si="34"/>
        <v>17</v>
      </c>
      <c r="EO20" s="655" t="s">
        <v>406</v>
      </c>
      <c r="EP20" s="657">
        <f t="shared" si="35"/>
        <v>0.22424442781286494</v>
      </c>
      <c r="EQ20" s="646">
        <f t="shared" si="36"/>
        <v>1753247.9116019949</v>
      </c>
      <c r="ER20" s="657">
        <f t="shared" si="37"/>
        <v>0.24180441601459768</v>
      </c>
      <c r="ES20" s="646">
        <f t="shared" si="38"/>
        <v>244037.06203621152</v>
      </c>
      <c r="ET20" s="657">
        <f t="shared" si="39"/>
        <v>0.24644723868929005</v>
      </c>
      <c r="EU20" s="646">
        <f t="shared" si="40"/>
        <v>1052896.7547277187</v>
      </c>
      <c r="EV20" s="646">
        <f t="shared" si="41"/>
        <v>3050181.7283659251</v>
      </c>
      <c r="EW20" s="657">
        <f t="shared" si="42"/>
        <v>0.23283825935554789</v>
      </c>
      <c r="EX20" s="709">
        <f t="shared" si="43"/>
        <v>0.56707799999999997</v>
      </c>
      <c r="FH20" s="545">
        <f t="shared" si="121"/>
        <v>17</v>
      </c>
      <c r="FI20" s="669">
        <f t="shared" si="44"/>
        <v>17</v>
      </c>
      <c r="FJ20" s="655" t="s">
        <v>406</v>
      </c>
      <c r="FK20" s="657">
        <f t="shared" si="45"/>
        <v>0.22424442781286494</v>
      </c>
      <c r="FL20" s="646">
        <f t="shared" si="46"/>
        <v>4400957.218295726</v>
      </c>
      <c r="FM20" s="709">
        <f t="shared" si="47"/>
        <v>0.81820899999999996</v>
      </c>
      <c r="FQ20" s="543">
        <v>17</v>
      </c>
      <c r="FR20" s="669">
        <v>17</v>
      </c>
      <c r="FS20" s="655" t="s">
        <v>406</v>
      </c>
      <c r="FT20" s="646">
        <f t="shared" si="48"/>
        <v>8697320.8674854878</v>
      </c>
      <c r="FU20" s="646">
        <f t="shared" si="49"/>
        <v>4355281.1746265804</v>
      </c>
      <c r="FV20" s="646">
        <f t="shared" si="50"/>
        <v>6062935.4309464255</v>
      </c>
      <c r="FW20" s="646">
        <f t="shared" si="86"/>
        <v>1554196.2212553094</v>
      </c>
      <c r="FX20" s="646">
        <f t="shared" si="51"/>
        <v>964005.31202886789</v>
      </c>
      <c r="FY20" s="646">
        <f t="shared" si="52"/>
        <v>3050181.7283659251</v>
      </c>
      <c r="FZ20" s="646">
        <f t="shared" si="53"/>
        <v>4400957.218295726</v>
      </c>
      <c r="GA20" s="646">
        <f t="shared" si="54"/>
        <v>29084877.953004319</v>
      </c>
      <c r="GB20" s="746">
        <f t="shared" si="55"/>
        <v>5.4073510000000002</v>
      </c>
      <c r="GF20" s="545">
        <f t="shared" si="87"/>
        <v>17</v>
      </c>
      <c r="GG20" s="669">
        <f t="shared" si="56"/>
        <v>17</v>
      </c>
      <c r="GH20" s="655" t="s">
        <v>406</v>
      </c>
      <c r="GI20" s="709">
        <f t="shared" si="57"/>
        <v>1.616973</v>
      </c>
      <c r="GJ20" s="709">
        <f t="shared" si="58"/>
        <v>0.80971700000000002</v>
      </c>
      <c r="GK20" s="709">
        <f t="shared" si="59"/>
        <v>1.1271979999999999</v>
      </c>
      <c r="GL20" s="709">
        <f t="shared" si="60"/>
        <v>0.28894999999999998</v>
      </c>
      <c r="GM20" s="709">
        <f t="shared" si="61"/>
        <v>0.17922399999999999</v>
      </c>
      <c r="GN20" s="709">
        <f t="shared" si="62"/>
        <v>0.56707799999999997</v>
      </c>
      <c r="GO20" s="709">
        <f t="shared" si="63"/>
        <v>0.81820899999999996</v>
      </c>
      <c r="GP20" s="709">
        <f t="shared" si="64"/>
        <v>5.4073510000000002</v>
      </c>
      <c r="GQ20" s="656">
        <f t="shared" si="88"/>
        <v>537876661</v>
      </c>
      <c r="GR20" s="530"/>
      <c r="GU20" s="543">
        <f t="shared" si="89"/>
        <v>17</v>
      </c>
      <c r="GV20" s="669">
        <f t="shared" si="65"/>
        <v>17</v>
      </c>
      <c r="GW20" s="655" t="s">
        <v>406</v>
      </c>
      <c r="GX20" s="658" t="s">
        <v>379</v>
      </c>
      <c r="GY20" s="646">
        <f t="shared" si="90"/>
        <v>29084877.953004319</v>
      </c>
      <c r="GZ20" s="656">
        <f t="shared" si="66"/>
        <v>537876661</v>
      </c>
      <c r="HA20" s="709">
        <f t="shared" si="91"/>
        <v>5.4073510000000002</v>
      </c>
      <c r="HB20" s="646">
        <f t="shared" si="67"/>
        <v>29084879.00735011</v>
      </c>
      <c r="HC20" s="749">
        <f t="shared" si="68"/>
        <v>1.054345790296793</v>
      </c>
      <c r="HD20" s="549"/>
      <c r="HG20" s="549"/>
      <c r="HH20" s="549"/>
      <c r="HI20" s="549"/>
      <c r="HJ20" s="549"/>
      <c r="HK20" s="549"/>
      <c r="HL20" s="549"/>
      <c r="HM20" s="549"/>
      <c r="HP20" s="545">
        <f t="shared" si="122"/>
        <v>17</v>
      </c>
      <c r="HQ20" s="761">
        <f t="shared" si="69"/>
        <v>17</v>
      </c>
      <c r="HR20" s="655" t="s">
        <v>406</v>
      </c>
      <c r="HS20" s="656">
        <f t="shared" si="92"/>
        <v>537876661</v>
      </c>
      <c r="HT20" s="756">
        <f t="shared" si="93"/>
        <v>5.4073510000000002</v>
      </c>
      <c r="HU20" s="756">
        <v>4.7273310000000004</v>
      </c>
      <c r="HV20" s="647">
        <f t="shared" si="94"/>
        <v>0.14384861140461713</v>
      </c>
      <c r="HW20" s="756">
        <f t="shared" si="95"/>
        <v>0.68001999999999985</v>
      </c>
      <c r="HX20" s="648">
        <v>10</v>
      </c>
      <c r="IO20" s="545">
        <v>17</v>
      </c>
      <c r="IP20" s="761">
        <v>17</v>
      </c>
      <c r="IQ20" s="655" t="s">
        <v>406</v>
      </c>
      <c r="IR20" s="769">
        <f t="shared" si="96"/>
        <v>29084877.953004319</v>
      </c>
      <c r="IS20" s="770">
        <f t="shared" si="96"/>
        <v>537876661</v>
      </c>
      <c r="IT20" s="771">
        <f t="shared" si="96"/>
        <v>5.4073510000000002</v>
      </c>
      <c r="IU20" s="656">
        <f t="shared" si="97"/>
        <v>79165238.078899398</v>
      </c>
      <c r="IV20" s="656">
        <f t="shared" si="98"/>
        <v>458711422.92110062</v>
      </c>
      <c r="IW20" s="769">
        <f t="shared" si="123"/>
        <v>1187478.571183491</v>
      </c>
      <c r="IX20" s="769">
        <f t="shared" si="99"/>
        <v>27897399.381820828</v>
      </c>
      <c r="IY20" s="550">
        <f t="shared" si="100"/>
        <v>5.1865792670674784</v>
      </c>
      <c r="IZ20" s="550">
        <f t="shared" si="101"/>
        <v>6.6865792670674784</v>
      </c>
      <c r="JA20" s="769">
        <f t="shared" si="102"/>
        <v>29084877.953004323</v>
      </c>
      <c r="JB20" s="746">
        <f t="shared" si="103"/>
        <v>0.22077173293252184</v>
      </c>
      <c r="JF20" s="545">
        <f t="shared" si="124"/>
        <v>17</v>
      </c>
      <c r="JG20" s="761">
        <f t="shared" si="70"/>
        <v>17</v>
      </c>
      <c r="JH20" s="655" t="s">
        <v>406</v>
      </c>
      <c r="JI20" s="656">
        <f t="shared" si="104"/>
        <v>537876661</v>
      </c>
      <c r="JJ20" s="756">
        <f t="shared" si="105"/>
        <v>5.1865792670674784</v>
      </c>
      <c r="JK20" s="756">
        <v>4.505097789107122</v>
      </c>
      <c r="JL20" s="647">
        <f t="shared" si="126"/>
        <v>0.15126896459564332</v>
      </c>
      <c r="JM20" s="756">
        <f t="shared" si="107"/>
        <v>0.68148147796035641</v>
      </c>
      <c r="JN20" s="648">
        <v>10</v>
      </c>
      <c r="JS20" s="756">
        <v>5.1865792670674784</v>
      </c>
      <c r="JT20" s="756">
        <f t="shared" si="108"/>
        <v>0</v>
      </c>
      <c r="JU20" s="1009">
        <v>537876661</v>
      </c>
      <c r="JV20" s="1009">
        <f t="shared" si="109"/>
        <v>0</v>
      </c>
      <c r="JW20" s="1069">
        <f t="shared" si="110"/>
        <v>0</v>
      </c>
      <c r="JX20" s="997">
        <v>27897399.381820828</v>
      </c>
      <c r="JY20" s="997">
        <f t="shared" si="111"/>
        <v>27897399.381820828</v>
      </c>
      <c r="JZ20" s="516"/>
      <c r="KA20" s="516"/>
      <c r="KB20" s="516"/>
      <c r="KC20" s="516"/>
      <c r="KE20" s="516"/>
      <c r="KF20" s="516"/>
    </row>
    <row r="21" spans="2:292" ht="16.5" x14ac:dyDescent="0.3">
      <c r="I21" s="222">
        <f t="shared" si="112"/>
        <v>18</v>
      </c>
      <c r="J21" s="659">
        <f t="shared" si="1"/>
        <v>18</v>
      </c>
      <c r="K21" s="660" t="s">
        <v>407</v>
      </c>
      <c r="L21" s="991">
        <v>54037187</v>
      </c>
      <c r="M21" s="662">
        <f t="shared" si="2"/>
        <v>2.4759050704910211E-2</v>
      </c>
      <c r="N21" s="661">
        <v>354</v>
      </c>
      <c r="O21" s="661">
        <f t="shared" si="71"/>
        <v>152647.4209039548</v>
      </c>
      <c r="P21" s="662">
        <f t="shared" si="3"/>
        <v>8.6163362035458366E-2</v>
      </c>
      <c r="Q21" s="663" t="s">
        <v>379</v>
      </c>
      <c r="U21" s="551">
        <f t="shared" si="113"/>
        <v>18</v>
      </c>
      <c r="V21" s="670">
        <f t="shared" si="4"/>
        <v>18</v>
      </c>
      <c r="W21" s="660" t="s">
        <v>407</v>
      </c>
      <c r="X21" s="671">
        <f t="shared" si="72"/>
        <v>6190349.7797710355</v>
      </c>
      <c r="Y21" s="662">
        <f t="shared" si="5"/>
        <v>6.4166043785554891E-2</v>
      </c>
      <c r="AC21" s="551">
        <f t="shared" si="114"/>
        <v>18</v>
      </c>
      <c r="AD21" s="681">
        <v>18</v>
      </c>
      <c r="AE21" s="682" t="s">
        <v>407</v>
      </c>
      <c r="AF21" s="683">
        <v>8.4600000000000009</v>
      </c>
      <c r="AP21" s="551">
        <f t="shared" si="74"/>
        <v>18</v>
      </c>
      <c r="AQ21" s="697">
        <f t="shared" si="6"/>
        <v>18</v>
      </c>
      <c r="AR21" s="660" t="s">
        <v>407</v>
      </c>
      <c r="AS21" s="660">
        <f t="shared" si="7"/>
        <v>8.4600000000000009</v>
      </c>
      <c r="AT21" s="698">
        <f t="shared" si="75"/>
        <v>54037187</v>
      </c>
      <c r="AU21" s="698">
        <f>AT21*AS21/3600</f>
        <v>126987.38945000002</v>
      </c>
      <c r="AV21" s="699">
        <f t="shared" si="8"/>
        <v>131166.30180276095</v>
      </c>
      <c r="AW21" s="700">
        <f t="shared" si="9"/>
        <v>21.592508896755891</v>
      </c>
      <c r="AX21" s="671">
        <f t="shared" si="125"/>
        <v>2832209.5386306839</v>
      </c>
      <c r="AY21" s="465">
        <f t="shared" si="76"/>
        <v>6.7686781212025787E-2</v>
      </c>
      <c r="AZ21" s="553">
        <f t="shared" si="10"/>
        <v>5.2412229999999997</v>
      </c>
      <c r="BK21" s="222">
        <f t="shared" si="116"/>
        <v>18</v>
      </c>
      <c r="BL21" s="663">
        <f t="shared" si="11"/>
        <v>18</v>
      </c>
      <c r="BM21" s="660" t="s">
        <v>407</v>
      </c>
      <c r="BN21" s="662">
        <f t="shared" si="77"/>
        <v>6.7686781212025787E-2</v>
      </c>
      <c r="BO21" s="671">
        <f t="shared" si="78"/>
        <v>648893.73780132947</v>
      </c>
      <c r="BP21" s="662">
        <f t="shared" si="79"/>
        <v>2.4759050704910211E-2</v>
      </c>
      <c r="BQ21" s="671">
        <f t="shared" si="80"/>
        <v>237357.91049061457</v>
      </c>
      <c r="BR21" s="710">
        <f t="shared" si="12"/>
        <v>886251.64829194406</v>
      </c>
      <c r="BS21" s="711">
        <f t="shared" si="13"/>
        <v>1.640077</v>
      </c>
      <c r="BV21" s="15"/>
      <c r="BW21" s="190"/>
      <c r="BX21" s="190"/>
      <c r="BY21" s="190"/>
      <c r="BZ21" s="190"/>
      <c r="CA21" s="190"/>
      <c r="CB21" s="190"/>
      <c r="CC21" s="190"/>
      <c r="CD21" s="190"/>
      <c r="CH21" s="222">
        <f t="shared" si="117"/>
        <v>18</v>
      </c>
      <c r="CI21" s="681">
        <f t="shared" si="15"/>
        <v>18</v>
      </c>
      <c r="CJ21" s="660" t="s">
        <v>407</v>
      </c>
      <c r="CK21" s="723">
        <f t="shared" si="16"/>
        <v>2.4759050704910211E-2</v>
      </c>
      <c r="CL21" s="650">
        <f t="shared" si="17"/>
        <v>145131.08759579688</v>
      </c>
      <c r="CM21" s="723">
        <f t="shared" si="18"/>
        <v>8.6163362035458366E-2</v>
      </c>
      <c r="CN21" s="650">
        <f t="shared" si="19"/>
        <v>1655368.6116965972</v>
      </c>
      <c r="CO21" s="650">
        <f t="shared" si="20"/>
        <v>1800499.6992923941</v>
      </c>
      <c r="CP21" s="723">
        <f t="shared" si="21"/>
        <v>7.180824920213523E-2</v>
      </c>
      <c r="CQ21" s="724">
        <f t="shared" si="22"/>
        <v>3.3319640000000001</v>
      </c>
      <c r="DD21" s="15"/>
      <c r="DG21" s="551">
        <f t="shared" si="118"/>
        <v>18</v>
      </c>
      <c r="DH21" s="677">
        <f t="shared" si="23"/>
        <v>18</v>
      </c>
      <c r="DI21" s="660" t="s">
        <v>407</v>
      </c>
      <c r="DJ21" s="723">
        <f t="shared" si="24"/>
        <v>7.180824920213523E-2</v>
      </c>
      <c r="DK21" s="650">
        <f t="shared" si="82"/>
        <v>27049.789373601365</v>
      </c>
      <c r="DL21" s="723">
        <f t="shared" si="25"/>
        <v>8.6163362035458366E-2</v>
      </c>
      <c r="DM21" s="650">
        <f t="shared" si="26"/>
        <v>210939.58620365887</v>
      </c>
      <c r="DN21" s="723">
        <f t="shared" si="27"/>
        <v>2.4759050704910211E-2</v>
      </c>
      <c r="DO21" s="650">
        <f t="shared" si="83"/>
        <v>87866.504056637059</v>
      </c>
      <c r="DP21" s="650">
        <f t="shared" si="84"/>
        <v>325855.87963389728</v>
      </c>
      <c r="DQ21" s="723">
        <f t="shared" si="28"/>
        <v>5.1125119353064422E-2</v>
      </c>
      <c r="DR21" s="724">
        <f t="shared" si="29"/>
        <v>0.60302199999999995</v>
      </c>
      <c r="DV21" s="551">
        <f t="shared" si="119"/>
        <v>18</v>
      </c>
      <c r="DW21" s="677">
        <f t="shared" si="30"/>
        <v>18</v>
      </c>
      <c r="DX21" s="660" t="s">
        <v>407</v>
      </c>
      <c r="DY21" s="723">
        <f t="shared" si="31"/>
        <v>8.6163362035458366E-2</v>
      </c>
      <c r="DZ21" s="650">
        <f t="shared" si="32"/>
        <v>345533.01392211649</v>
      </c>
      <c r="EA21" s="724">
        <f t="shared" si="33"/>
        <v>0.639436</v>
      </c>
      <c r="EM21" s="551">
        <f t="shared" si="120"/>
        <v>18</v>
      </c>
      <c r="EN21" s="677">
        <f t="shared" si="34"/>
        <v>18</v>
      </c>
      <c r="EO21" s="660" t="s">
        <v>407</v>
      </c>
      <c r="EP21" s="723">
        <f t="shared" si="35"/>
        <v>6.4166043785554891E-2</v>
      </c>
      <c r="EQ21" s="650">
        <f t="shared" si="36"/>
        <v>501680.16819873103</v>
      </c>
      <c r="ER21" s="723">
        <f t="shared" si="37"/>
        <v>7.180824920213523E-2</v>
      </c>
      <c r="ES21" s="650">
        <f t="shared" si="38"/>
        <v>72471.274321951583</v>
      </c>
      <c r="ET21" s="723">
        <f t="shared" si="39"/>
        <v>2.4759050704910211E-2</v>
      </c>
      <c r="EU21" s="650">
        <f t="shared" si="40"/>
        <v>105778.11411474286</v>
      </c>
      <c r="EV21" s="650">
        <f t="shared" si="41"/>
        <v>679929.55663542543</v>
      </c>
      <c r="EW21" s="723">
        <f t="shared" si="42"/>
        <v>5.1903010558061166E-2</v>
      </c>
      <c r="EX21" s="724">
        <f t="shared" si="43"/>
        <v>1.258262</v>
      </c>
      <c r="FH21" s="551">
        <f t="shared" si="121"/>
        <v>18</v>
      </c>
      <c r="FI21" s="670">
        <f t="shared" si="44"/>
        <v>18</v>
      </c>
      <c r="FJ21" s="660" t="s">
        <v>407</v>
      </c>
      <c r="FK21" s="723">
        <f t="shared" si="45"/>
        <v>6.4166043785554891E-2</v>
      </c>
      <c r="FL21" s="650">
        <f t="shared" si="46"/>
        <v>1259304.4844939355</v>
      </c>
      <c r="FM21" s="724">
        <f t="shared" si="47"/>
        <v>2.3304399999999998</v>
      </c>
      <c r="FQ21" s="222">
        <v>18</v>
      </c>
      <c r="FR21" s="670">
        <v>18</v>
      </c>
      <c r="FS21" s="660" t="s">
        <v>407</v>
      </c>
      <c r="FT21" s="650">
        <f t="shared" si="48"/>
        <v>2832209.5386306839</v>
      </c>
      <c r="FU21" s="650">
        <f t="shared" si="49"/>
        <v>886251.64829194406</v>
      </c>
      <c r="FV21" s="650">
        <f t="shared" si="50"/>
        <v>1800499.6992923941</v>
      </c>
      <c r="FW21" s="650">
        <f t="shared" si="86"/>
        <v>325855.87963389728</v>
      </c>
      <c r="FX21" s="650">
        <f t="shared" si="51"/>
        <v>345533.01392211649</v>
      </c>
      <c r="FY21" s="650">
        <f t="shared" si="52"/>
        <v>679929.55663542543</v>
      </c>
      <c r="FZ21" s="650">
        <f t="shared" si="53"/>
        <v>1259304.4844939355</v>
      </c>
      <c r="GA21" s="650">
        <f t="shared" si="54"/>
        <v>8129583.8209003964</v>
      </c>
      <c r="GB21" s="747">
        <f t="shared" si="55"/>
        <v>15.044425</v>
      </c>
      <c r="GF21" s="551">
        <f t="shared" si="87"/>
        <v>18</v>
      </c>
      <c r="GG21" s="670">
        <f t="shared" si="56"/>
        <v>18</v>
      </c>
      <c r="GH21" s="660" t="s">
        <v>407</v>
      </c>
      <c r="GI21" s="724">
        <f t="shared" si="57"/>
        <v>5.2412229999999997</v>
      </c>
      <c r="GJ21" s="724">
        <f t="shared" si="58"/>
        <v>1.640077</v>
      </c>
      <c r="GK21" s="724">
        <f t="shared" si="59"/>
        <v>3.3319640000000001</v>
      </c>
      <c r="GL21" s="724">
        <f t="shared" si="60"/>
        <v>0.60302199999999995</v>
      </c>
      <c r="GM21" s="724">
        <f t="shared" si="61"/>
        <v>0.639436</v>
      </c>
      <c r="GN21" s="724">
        <f t="shared" si="62"/>
        <v>1.258262</v>
      </c>
      <c r="GO21" s="724">
        <f t="shared" si="63"/>
        <v>2.3304399999999998</v>
      </c>
      <c r="GP21" s="724">
        <f t="shared" si="64"/>
        <v>15.044425</v>
      </c>
      <c r="GQ21" s="661">
        <f t="shared" si="88"/>
        <v>54037187</v>
      </c>
      <c r="GR21" s="530"/>
      <c r="GU21" s="222">
        <f t="shared" si="89"/>
        <v>18</v>
      </c>
      <c r="GV21" s="670">
        <f t="shared" si="65"/>
        <v>18</v>
      </c>
      <c r="GW21" s="660" t="s">
        <v>407</v>
      </c>
      <c r="GX21" s="663" t="s">
        <v>379</v>
      </c>
      <c r="GY21" s="671">
        <f t="shared" si="90"/>
        <v>8129583.8209003964</v>
      </c>
      <c r="GZ21" s="661">
        <f t="shared" si="66"/>
        <v>54037187</v>
      </c>
      <c r="HA21" s="724">
        <f t="shared" si="91"/>
        <v>15.044425</v>
      </c>
      <c r="HB21" s="650">
        <f t="shared" si="67"/>
        <v>8129584.0703247497</v>
      </c>
      <c r="HC21" s="750">
        <f t="shared" si="68"/>
        <v>0.24942435324192047</v>
      </c>
      <c r="HD21" s="549"/>
      <c r="HG21" s="549"/>
      <c r="HH21" s="549"/>
      <c r="HI21" s="549"/>
      <c r="HJ21" s="549"/>
      <c r="HK21" s="549"/>
      <c r="HL21" s="549"/>
      <c r="HM21" s="549"/>
      <c r="HP21" s="551">
        <f t="shared" si="122"/>
        <v>18</v>
      </c>
      <c r="HQ21" s="762">
        <f t="shared" si="69"/>
        <v>18</v>
      </c>
      <c r="HR21" s="660" t="s">
        <v>407</v>
      </c>
      <c r="HS21" s="661">
        <f t="shared" si="92"/>
        <v>54037187</v>
      </c>
      <c r="HT21" s="757">
        <f t="shared" si="93"/>
        <v>15.044425</v>
      </c>
      <c r="HU21" s="757">
        <v>13.268026000000001</v>
      </c>
      <c r="HV21" s="651">
        <f t="shared" si="94"/>
        <v>0.1338857038718495</v>
      </c>
      <c r="HW21" s="757">
        <f t="shared" si="95"/>
        <v>1.7763989999999996</v>
      </c>
      <c r="HX21" s="652">
        <v>25</v>
      </c>
      <c r="IO21" s="551">
        <v>18</v>
      </c>
      <c r="IP21" s="762">
        <v>18</v>
      </c>
      <c r="IQ21" s="660" t="s">
        <v>407</v>
      </c>
      <c r="IR21" s="772">
        <f t="shared" si="96"/>
        <v>8129583.8209003964</v>
      </c>
      <c r="IS21" s="773">
        <f t="shared" si="96"/>
        <v>54037187</v>
      </c>
      <c r="IT21" s="774">
        <f t="shared" si="96"/>
        <v>15.044425</v>
      </c>
      <c r="IU21" s="661">
        <f t="shared" si="97"/>
        <v>7953248.5496131387</v>
      </c>
      <c r="IV21" s="661">
        <f t="shared" si="98"/>
        <v>46083938.450386859</v>
      </c>
      <c r="IW21" s="772">
        <f t="shared" si="123"/>
        <v>119298.72824419707</v>
      </c>
      <c r="IX21" s="772">
        <f t="shared" si="99"/>
        <v>8010285.0926561998</v>
      </c>
      <c r="IY21" s="455">
        <f t="shared" si="100"/>
        <v>14.823653001508386</v>
      </c>
      <c r="IZ21" s="555">
        <f t="shared" si="101"/>
        <v>16.323653001508386</v>
      </c>
      <c r="JA21" s="772">
        <f t="shared" si="102"/>
        <v>8129583.8209003964</v>
      </c>
      <c r="JB21" s="778">
        <f t="shared" si="103"/>
        <v>0.22077199849161389</v>
      </c>
      <c r="JF21" s="551">
        <f t="shared" si="124"/>
        <v>18</v>
      </c>
      <c r="JG21" s="762">
        <f t="shared" si="70"/>
        <v>18</v>
      </c>
      <c r="JH21" s="660" t="s">
        <v>407</v>
      </c>
      <c r="JI21" s="661">
        <f t="shared" si="104"/>
        <v>54037187</v>
      </c>
      <c r="JJ21" s="757">
        <f t="shared" si="105"/>
        <v>14.823653001508386</v>
      </c>
      <c r="JK21" s="757">
        <v>13.045793174517087</v>
      </c>
      <c r="JL21" s="651">
        <f t="shared" si="126"/>
        <v>0.13627840049343032</v>
      </c>
      <c r="JM21" s="757">
        <f t="shared" si="107"/>
        <v>1.7778598269912997</v>
      </c>
      <c r="JN21" s="652">
        <v>25</v>
      </c>
      <c r="JS21" s="757">
        <v>14.823653001508386</v>
      </c>
      <c r="JT21" s="757">
        <f t="shared" si="108"/>
        <v>0</v>
      </c>
      <c r="JU21" s="1010">
        <v>54037187</v>
      </c>
      <c r="JV21" s="1010">
        <f t="shared" si="109"/>
        <v>0</v>
      </c>
      <c r="JW21" s="1069">
        <f t="shared" si="110"/>
        <v>0</v>
      </c>
      <c r="JX21" s="997">
        <v>8010285.0926561998</v>
      </c>
      <c r="JY21" s="997">
        <f t="shared" si="111"/>
        <v>8010285.0926561998</v>
      </c>
      <c r="JZ21" s="516"/>
      <c r="KA21" s="516"/>
      <c r="KB21" s="516"/>
      <c r="KC21" s="516"/>
      <c r="KE21" s="516"/>
      <c r="KF21" s="516"/>
    </row>
    <row r="22" spans="2:292" ht="16.5" x14ac:dyDescent="0.3">
      <c r="I22" s="543">
        <v>19</v>
      </c>
      <c r="J22" s="654">
        <f t="shared" si="1"/>
        <v>19</v>
      </c>
      <c r="K22" s="655" t="s">
        <v>408</v>
      </c>
      <c r="L22" s="991">
        <v>1476</v>
      </c>
      <c r="M22" s="657">
        <f t="shared" si="2"/>
        <v>6.7628166581742075E-7</v>
      </c>
      <c r="N22" s="656">
        <v>25</v>
      </c>
      <c r="O22" s="656">
        <f t="shared" si="71"/>
        <v>59.04</v>
      </c>
      <c r="P22" s="657">
        <f t="shared" si="3"/>
        <v>3.3325717948253037E-5</v>
      </c>
      <c r="Q22" s="658" t="s">
        <v>379</v>
      </c>
      <c r="U22" s="545">
        <f t="shared" si="113"/>
        <v>19</v>
      </c>
      <c r="V22" s="669">
        <f t="shared" si="4"/>
        <v>19</v>
      </c>
      <c r="W22" s="655" t="s">
        <v>408</v>
      </c>
      <c r="X22" s="646">
        <f t="shared" si="72"/>
        <v>2352.0450924598872</v>
      </c>
      <c r="Y22" s="657">
        <f t="shared" si="5"/>
        <v>2.4380113201610199E-5</v>
      </c>
      <c r="AC22" s="545">
        <f t="shared" si="114"/>
        <v>19</v>
      </c>
      <c r="AD22" s="678">
        <v>19</v>
      </c>
      <c r="AE22" s="679" t="s">
        <v>408</v>
      </c>
      <c r="AF22" s="680">
        <v>131.15</v>
      </c>
      <c r="AP22" s="545">
        <f t="shared" si="74"/>
        <v>19</v>
      </c>
      <c r="AQ22" s="693">
        <f t="shared" si="6"/>
        <v>19</v>
      </c>
      <c r="AR22" s="655" t="s">
        <v>408</v>
      </c>
      <c r="AS22" s="655">
        <f t="shared" si="7"/>
        <v>131.15</v>
      </c>
      <c r="AT22" s="694">
        <f t="shared" si="75"/>
        <v>1476</v>
      </c>
      <c r="AU22" s="694">
        <f t="shared" si="115"/>
        <v>53.771499999999996</v>
      </c>
      <c r="AV22" s="695">
        <f t="shared" si="8"/>
        <v>55.541017324119501</v>
      </c>
      <c r="AW22" s="696">
        <f t="shared" si="9"/>
        <v>21.592508896755891</v>
      </c>
      <c r="AX22" s="646">
        <f t="shared" si="125"/>
        <v>1199.2699107059234</v>
      </c>
      <c r="AY22" s="544">
        <f t="shared" si="76"/>
        <v>2.8661269215046806E-5</v>
      </c>
      <c r="AZ22" s="548">
        <f t="shared" si="10"/>
        <v>81.251349000000005</v>
      </c>
      <c r="BK22" s="543">
        <f t="shared" si="116"/>
        <v>19</v>
      </c>
      <c r="BL22" s="658">
        <f t="shared" si="11"/>
        <v>19</v>
      </c>
      <c r="BM22" s="655" t="s">
        <v>408</v>
      </c>
      <c r="BN22" s="657">
        <f t="shared" si="77"/>
        <v>2.8661269215046806E-5</v>
      </c>
      <c r="BO22" s="646">
        <f t="shared" si="78"/>
        <v>274.76735897403859</v>
      </c>
      <c r="BP22" s="657">
        <f t="shared" si="79"/>
        <v>6.7628166581742075E-7</v>
      </c>
      <c r="BQ22" s="646">
        <f t="shared" si="80"/>
        <v>6.4833181616975564</v>
      </c>
      <c r="BR22" s="708">
        <f t="shared" si="12"/>
        <v>281.25067713573617</v>
      </c>
      <c r="BS22" s="709">
        <f t="shared" si="13"/>
        <v>19.054924</v>
      </c>
      <c r="BV22" s="15"/>
      <c r="BW22" s="190"/>
      <c r="BX22" s="190"/>
      <c r="BY22" s="190"/>
      <c r="BZ22" s="190"/>
      <c r="CA22" s="190"/>
      <c r="CB22" s="190"/>
      <c r="CC22" s="190"/>
      <c r="CD22" s="190"/>
      <c r="CH22" s="543">
        <f t="shared" si="117"/>
        <v>19</v>
      </c>
      <c r="CI22" s="678">
        <f t="shared" si="15"/>
        <v>19</v>
      </c>
      <c r="CJ22" s="655" t="s">
        <v>408</v>
      </c>
      <c r="CK22" s="657">
        <f t="shared" si="16"/>
        <v>6.7628166581742075E-7</v>
      </c>
      <c r="CL22" s="646">
        <f t="shared" si="17"/>
        <v>3.9641864646173421</v>
      </c>
      <c r="CM22" s="657">
        <f t="shared" si="18"/>
        <v>3.3325717948253037E-5</v>
      </c>
      <c r="CN22" s="646">
        <f t="shared" si="19"/>
        <v>640.25295845686344</v>
      </c>
      <c r="CO22" s="646">
        <f t="shared" si="20"/>
        <v>644.21714492148078</v>
      </c>
      <c r="CP22" s="657">
        <f t="shared" si="21"/>
        <v>2.5692925858854753E-5</v>
      </c>
      <c r="CQ22" s="709">
        <f t="shared" si="22"/>
        <v>43.646147999999997</v>
      </c>
      <c r="DD22" s="15"/>
      <c r="DG22" s="545">
        <f t="shared" si="118"/>
        <v>19</v>
      </c>
      <c r="DH22" s="739">
        <f t="shared" si="23"/>
        <v>19</v>
      </c>
      <c r="DI22" s="655" t="s">
        <v>408</v>
      </c>
      <c r="DJ22" s="657">
        <f t="shared" si="24"/>
        <v>2.5692925858854753E-5</v>
      </c>
      <c r="DK22" s="646">
        <f t="shared" si="82"/>
        <v>9.6783898868949372</v>
      </c>
      <c r="DL22" s="657">
        <f t="shared" si="25"/>
        <v>3.3325717948253037E-5</v>
      </c>
      <c r="DM22" s="646">
        <f t="shared" si="26"/>
        <v>81.58587348357463</v>
      </c>
      <c r="DN22" s="657">
        <f t="shared" si="27"/>
        <v>6.7628166581742075E-7</v>
      </c>
      <c r="DO22" s="646">
        <f t="shared" si="83"/>
        <v>2.4000316668518717</v>
      </c>
      <c r="DP22" s="646">
        <f t="shared" si="84"/>
        <v>93.664295037321438</v>
      </c>
      <c r="DQ22" s="657">
        <f t="shared" si="28"/>
        <v>1.4695448393577374E-5</v>
      </c>
      <c r="DR22" s="709">
        <f t="shared" si="29"/>
        <v>6.3458189999999997</v>
      </c>
      <c r="DV22" s="545">
        <f t="shared" si="119"/>
        <v>19</v>
      </c>
      <c r="DW22" s="739">
        <f t="shared" si="30"/>
        <v>19</v>
      </c>
      <c r="DX22" s="655" t="s">
        <v>408</v>
      </c>
      <c r="DY22" s="657">
        <f t="shared" si="31"/>
        <v>3.3325717948253037E-5</v>
      </c>
      <c r="DZ22" s="646">
        <f t="shared" si="32"/>
        <v>133.64306465942542</v>
      </c>
      <c r="EA22" s="709">
        <f t="shared" si="33"/>
        <v>9.0544080000000005</v>
      </c>
      <c r="EM22" s="545">
        <f t="shared" si="120"/>
        <v>19</v>
      </c>
      <c r="EN22" s="739">
        <f t="shared" si="34"/>
        <v>19</v>
      </c>
      <c r="EO22" s="655" t="s">
        <v>408</v>
      </c>
      <c r="EP22" s="657">
        <f t="shared" si="35"/>
        <v>2.4380113201610199E-5</v>
      </c>
      <c r="EQ22" s="646">
        <f t="shared" si="36"/>
        <v>190.61513800919985</v>
      </c>
      <c r="ER22" s="657">
        <f t="shared" si="37"/>
        <v>2.5692925858854753E-5</v>
      </c>
      <c r="ES22" s="646">
        <f t="shared" si="38"/>
        <v>25.930155640046706</v>
      </c>
      <c r="ET22" s="657">
        <f t="shared" si="39"/>
        <v>6.7628166581742075E-7</v>
      </c>
      <c r="EU22" s="646">
        <f t="shared" si="40"/>
        <v>2.8892787560048316</v>
      </c>
      <c r="EV22" s="646">
        <f t="shared" si="41"/>
        <v>219.4345724052514</v>
      </c>
      <c r="EW22" s="657">
        <f t="shared" si="42"/>
        <v>1.6750727802910163E-5</v>
      </c>
      <c r="EX22" s="709">
        <f t="shared" si="43"/>
        <v>14.866841000000001</v>
      </c>
      <c r="FH22" s="545">
        <f t="shared" si="121"/>
        <v>19</v>
      </c>
      <c r="FI22" s="669">
        <f t="shared" si="44"/>
        <v>19</v>
      </c>
      <c r="FJ22" s="655" t="s">
        <v>408</v>
      </c>
      <c r="FK22" s="657">
        <f t="shared" si="45"/>
        <v>2.4380113201610199E-5</v>
      </c>
      <c r="FL22" s="646">
        <f t="shared" si="46"/>
        <v>478.47715202552632</v>
      </c>
      <c r="FM22" s="709">
        <f t="shared" si="47"/>
        <v>32.417150999999997</v>
      </c>
      <c r="FQ22" s="543">
        <v>19</v>
      </c>
      <c r="FR22" s="669">
        <v>19</v>
      </c>
      <c r="FS22" s="655" t="s">
        <v>408</v>
      </c>
      <c r="FT22" s="646">
        <f t="shared" si="48"/>
        <v>1199.2699107059234</v>
      </c>
      <c r="FU22" s="646">
        <f t="shared" si="49"/>
        <v>281.25067713573617</v>
      </c>
      <c r="FV22" s="646">
        <f t="shared" si="50"/>
        <v>644.21714492148078</v>
      </c>
      <c r="FW22" s="646">
        <f t="shared" si="86"/>
        <v>93.664295037321438</v>
      </c>
      <c r="FX22" s="646">
        <f t="shared" si="51"/>
        <v>133.64306465942542</v>
      </c>
      <c r="FY22" s="646">
        <f t="shared" si="52"/>
        <v>219.4345724052514</v>
      </c>
      <c r="FZ22" s="646">
        <f t="shared" si="53"/>
        <v>478.47715202552632</v>
      </c>
      <c r="GA22" s="646">
        <f t="shared" si="54"/>
        <v>3049.9568168906649</v>
      </c>
      <c r="GB22" s="746">
        <f t="shared" si="55"/>
        <v>206.636641</v>
      </c>
      <c r="GF22" s="545">
        <f t="shared" si="87"/>
        <v>19</v>
      </c>
      <c r="GG22" s="669">
        <f t="shared" si="56"/>
        <v>19</v>
      </c>
      <c r="GH22" s="655" t="s">
        <v>408</v>
      </c>
      <c r="GI22" s="709">
        <f t="shared" si="57"/>
        <v>81.251349000000005</v>
      </c>
      <c r="GJ22" s="709">
        <f t="shared" si="58"/>
        <v>19.054924</v>
      </c>
      <c r="GK22" s="709">
        <f t="shared" si="59"/>
        <v>43.646147999999997</v>
      </c>
      <c r="GL22" s="709">
        <f t="shared" si="60"/>
        <v>6.3458189999999997</v>
      </c>
      <c r="GM22" s="709">
        <f t="shared" si="61"/>
        <v>9.0544080000000005</v>
      </c>
      <c r="GN22" s="709">
        <f t="shared" si="62"/>
        <v>14.866841000000001</v>
      </c>
      <c r="GO22" s="709">
        <f t="shared" si="63"/>
        <v>32.417150999999997</v>
      </c>
      <c r="GP22" s="709">
        <f t="shared" si="64"/>
        <v>206.636641</v>
      </c>
      <c r="GQ22" s="656">
        <f t="shared" si="88"/>
        <v>1476</v>
      </c>
      <c r="GR22" s="530"/>
      <c r="GU22" s="543">
        <f t="shared" si="89"/>
        <v>19</v>
      </c>
      <c r="GV22" s="669">
        <f t="shared" si="65"/>
        <v>19</v>
      </c>
      <c r="GW22" s="655" t="s">
        <v>408</v>
      </c>
      <c r="GX22" s="658" t="s">
        <v>379</v>
      </c>
      <c r="GY22" s="646">
        <f t="shared" si="90"/>
        <v>3049.9568168906649</v>
      </c>
      <c r="GZ22" s="656">
        <f t="shared" si="66"/>
        <v>1476</v>
      </c>
      <c r="HA22" s="709">
        <f t="shared" si="91"/>
        <v>206.636641</v>
      </c>
      <c r="HB22" s="646">
        <f t="shared" si="67"/>
        <v>3049.9568211599999</v>
      </c>
      <c r="HC22" s="749">
        <f t="shared" si="68"/>
        <v>4.2693350223999005E-6</v>
      </c>
      <c r="HD22" s="549"/>
      <c r="HG22" s="549"/>
      <c r="HH22" s="549"/>
      <c r="HI22" s="549"/>
      <c r="HJ22" s="549"/>
      <c r="HK22" s="549"/>
      <c r="HL22" s="549"/>
      <c r="HM22" s="549"/>
      <c r="HP22" s="545">
        <f t="shared" si="122"/>
        <v>19</v>
      </c>
      <c r="HQ22" s="761">
        <f t="shared" si="69"/>
        <v>19</v>
      </c>
      <c r="HR22" s="655" t="s">
        <v>408</v>
      </c>
      <c r="HS22" s="656">
        <f t="shared" si="92"/>
        <v>1476</v>
      </c>
      <c r="HT22" s="756">
        <f t="shared" si="93"/>
        <v>206.636641</v>
      </c>
      <c r="HU22" s="756">
        <v>233.030067</v>
      </c>
      <c r="HV22" s="647">
        <f t="shared" si="94"/>
        <v>-0.11326189079283067</v>
      </c>
      <c r="HW22" s="756">
        <f t="shared" si="95"/>
        <v>-26.393426000000005</v>
      </c>
      <c r="HX22" s="648">
        <v>10</v>
      </c>
      <c r="IO22" s="545">
        <v>19</v>
      </c>
      <c r="IP22" s="761">
        <v>19</v>
      </c>
      <c r="IQ22" s="655" t="s">
        <v>408</v>
      </c>
      <c r="IR22" s="769">
        <f t="shared" si="96"/>
        <v>3049.9568168906649</v>
      </c>
      <c r="IS22" s="770">
        <f t="shared" si="96"/>
        <v>1476</v>
      </c>
      <c r="IT22" s="771">
        <f t="shared" si="96"/>
        <v>206.636641</v>
      </c>
      <c r="IU22" s="656">
        <f t="shared" si="97"/>
        <v>217.2391923219281</v>
      </c>
      <c r="IV22" s="656">
        <f t="shared" si="98"/>
        <v>1258.7608076780718</v>
      </c>
      <c r="IW22" s="769">
        <f t="shared" si="123"/>
        <v>3.2585878848289216</v>
      </c>
      <c r="IX22" s="769">
        <f t="shared" si="99"/>
        <v>3046.6982290058359</v>
      </c>
      <c r="IY22" s="550">
        <f t="shared" si="100"/>
        <v>206.41586917383711</v>
      </c>
      <c r="IZ22" s="550">
        <f>IY22+1.5</f>
        <v>207.91586917383711</v>
      </c>
      <c r="JA22" s="769">
        <f t="shared" si="102"/>
        <v>3049.9568168906644</v>
      </c>
      <c r="JB22" s="746">
        <f t="shared" si="103"/>
        <v>0.22077182616288837</v>
      </c>
      <c r="JF22" s="545">
        <f t="shared" si="124"/>
        <v>19</v>
      </c>
      <c r="JG22" s="761">
        <f t="shared" si="70"/>
        <v>19</v>
      </c>
      <c r="JH22" s="655" t="s">
        <v>408</v>
      </c>
      <c r="JI22" s="656">
        <f t="shared" si="104"/>
        <v>1476</v>
      </c>
      <c r="JJ22" s="756">
        <f t="shared" si="105"/>
        <v>206.41586917383711</v>
      </c>
      <c r="JK22" s="756">
        <v>232.80783427268813</v>
      </c>
      <c r="JL22" s="647">
        <f t="shared" si="126"/>
        <v>-0.11336373271673528</v>
      </c>
      <c r="JM22" s="756">
        <f t="shared" si="107"/>
        <v>-26.391965098851017</v>
      </c>
      <c r="JN22" s="648">
        <v>10</v>
      </c>
      <c r="JS22" s="756">
        <v>206.41586917383711</v>
      </c>
      <c r="JT22" s="756">
        <f t="shared" si="108"/>
        <v>0</v>
      </c>
      <c r="JU22" s="1009">
        <v>1476</v>
      </c>
      <c r="JV22" s="1009">
        <f t="shared" si="109"/>
        <v>0</v>
      </c>
      <c r="JW22" s="1069">
        <f t="shared" si="110"/>
        <v>0</v>
      </c>
      <c r="JX22" s="997">
        <v>3046.6982290058354</v>
      </c>
      <c r="JY22" s="997">
        <f t="shared" si="111"/>
        <v>3046.6982290058354</v>
      </c>
      <c r="JZ22" s="516"/>
      <c r="KA22" s="516"/>
      <c r="KB22" s="516"/>
      <c r="KC22" s="516"/>
      <c r="KE22" s="516"/>
      <c r="KF22" s="516"/>
    </row>
    <row r="23" spans="2:292" ht="16.5" x14ac:dyDescent="0.3">
      <c r="I23" s="222">
        <v>20</v>
      </c>
      <c r="J23" s="659">
        <f t="shared" si="1"/>
        <v>20</v>
      </c>
      <c r="K23" s="660" t="s">
        <v>409</v>
      </c>
      <c r="L23" s="991"/>
      <c r="M23" s="662">
        <f t="shared" si="2"/>
        <v>0</v>
      </c>
      <c r="N23" s="661">
        <v>798</v>
      </c>
      <c r="O23" s="661">
        <f t="shared" si="71"/>
        <v>0</v>
      </c>
      <c r="P23" s="662">
        <f t="shared" si="3"/>
        <v>0</v>
      </c>
      <c r="Q23" s="663" t="s">
        <v>384</v>
      </c>
      <c r="U23" s="551">
        <f t="shared" si="113"/>
        <v>20</v>
      </c>
      <c r="V23" s="670">
        <f t="shared" si="4"/>
        <v>20</v>
      </c>
      <c r="W23" s="660" t="s">
        <v>409</v>
      </c>
      <c r="X23" s="671">
        <f t="shared" si="72"/>
        <v>0</v>
      </c>
      <c r="Y23" s="662">
        <f t="shared" si="5"/>
        <v>0</v>
      </c>
      <c r="AC23" s="551">
        <f t="shared" si="114"/>
        <v>20</v>
      </c>
      <c r="AD23" s="681">
        <v>20</v>
      </c>
      <c r="AE23" s="682" t="s">
        <v>409</v>
      </c>
      <c r="AF23" s="683">
        <v>4.6900000000000004</v>
      </c>
      <c r="AP23" s="551">
        <f t="shared" si="74"/>
        <v>20</v>
      </c>
      <c r="AQ23" s="697">
        <f t="shared" si="6"/>
        <v>20</v>
      </c>
      <c r="AR23" s="660" t="s">
        <v>409</v>
      </c>
      <c r="AS23" s="660">
        <f t="shared" si="7"/>
        <v>4.6900000000000004</v>
      </c>
      <c r="AT23" s="698">
        <f t="shared" si="75"/>
        <v>0</v>
      </c>
      <c r="AU23" s="698">
        <f t="shared" si="115"/>
        <v>0</v>
      </c>
      <c r="AV23" s="699">
        <f t="shared" si="8"/>
        <v>0</v>
      </c>
      <c r="AW23" s="700">
        <f t="shared" si="9"/>
        <v>21.592508896755891</v>
      </c>
      <c r="AX23" s="671">
        <f t="shared" si="125"/>
        <v>0</v>
      </c>
      <c r="AY23" s="465">
        <f t="shared" si="76"/>
        <v>0</v>
      </c>
      <c r="AZ23" s="553">
        <f t="shared" si="10"/>
        <v>0</v>
      </c>
      <c r="BK23" s="222">
        <f t="shared" si="116"/>
        <v>20</v>
      </c>
      <c r="BL23" s="663">
        <f t="shared" si="11"/>
        <v>20</v>
      </c>
      <c r="BM23" s="660" t="s">
        <v>409</v>
      </c>
      <c r="BN23" s="662">
        <f t="shared" si="77"/>
        <v>0</v>
      </c>
      <c r="BO23" s="671">
        <f t="shared" si="78"/>
        <v>0</v>
      </c>
      <c r="BP23" s="662">
        <f t="shared" si="79"/>
        <v>0</v>
      </c>
      <c r="BQ23" s="671">
        <f t="shared" si="80"/>
        <v>0</v>
      </c>
      <c r="BR23" s="710">
        <f t="shared" si="12"/>
        <v>0</v>
      </c>
      <c r="BS23" s="711">
        <f t="shared" si="13"/>
        <v>0</v>
      </c>
      <c r="BV23" s="15"/>
      <c r="BW23" s="190"/>
      <c r="BX23" s="190"/>
      <c r="BY23" s="190"/>
      <c r="BZ23" s="190"/>
      <c r="CA23" s="190"/>
      <c r="CB23" s="190"/>
      <c r="CC23" s="190"/>
      <c r="CD23" s="190"/>
      <c r="CH23" s="222">
        <f t="shared" si="117"/>
        <v>20</v>
      </c>
      <c r="CI23" s="681">
        <f t="shared" si="15"/>
        <v>20</v>
      </c>
      <c r="CJ23" s="660" t="s">
        <v>409</v>
      </c>
      <c r="CK23" s="723">
        <f t="shared" si="16"/>
        <v>0</v>
      </c>
      <c r="CL23" s="650">
        <f t="shared" si="17"/>
        <v>0</v>
      </c>
      <c r="CM23" s="723">
        <f t="shared" si="18"/>
        <v>0</v>
      </c>
      <c r="CN23" s="650">
        <f t="shared" si="19"/>
        <v>0</v>
      </c>
      <c r="CO23" s="650">
        <f t="shared" si="20"/>
        <v>0</v>
      </c>
      <c r="CP23" s="723">
        <f t="shared" si="21"/>
        <v>0</v>
      </c>
      <c r="CQ23" s="724">
        <f t="shared" si="22"/>
        <v>0</v>
      </c>
      <c r="DD23" s="15"/>
      <c r="DG23" s="551">
        <f t="shared" si="118"/>
        <v>20</v>
      </c>
      <c r="DH23" s="677">
        <f t="shared" si="23"/>
        <v>20</v>
      </c>
      <c r="DI23" s="660" t="s">
        <v>409</v>
      </c>
      <c r="DJ23" s="723">
        <f t="shared" si="24"/>
        <v>0</v>
      </c>
      <c r="DK23" s="650">
        <f t="shared" si="82"/>
        <v>0</v>
      </c>
      <c r="DL23" s="723">
        <f t="shared" si="25"/>
        <v>0</v>
      </c>
      <c r="DM23" s="650">
        <f t="shared" si="26"/>
        <v>0</v>
      </c>
      <c r="DN23" s="723">
        <f t="shared" si="27"/>
        <v>0</v>
      </c>
      <c r="DO23" s="650">
        <f t="shared" si="83"/>
        <v>0</v>
      </c>
      <c r="DP23" s="650">
        <f t="shared" si="84"/>
        <v>0</v>
      </c>
      <c r="DQ23" s="723">
        <f t="shared" si="28"/>
        <v>0</v>
      </c>
      <c r="DR23" s="724">
        <f t="shared" si="29"/>
        <v>0</v>
      </c>
      <c r="DV23" s="551">
        <f t="shared" si="119"/>
        <v>20</v>
      </c>
      <c r="DW23" s="677">
        <f t="shared" si="30"/>
        <v>20</v>
      </c>
      <c r="DX23" s="660" t="s">
        <v>409</v>
      </c>
      <c r="DY23" s="723">
        <f t="shared" si="31"/>
        <v>0</v>
      </c>
      <c r="DZ23" s="650">
        <f t="shared" si="32"/>
        <v>0</v>
      </c>
      <c r="EA23" s="724">
        <f t="shared" si="33"/>
        <v>0</v>
      </c>
      <c r="EM23" s="551">
        <f t="shared" si="120"/>
        <v>20</v>
      </c>
      <c r="EN23" s="677">
        <f t="shared" si="34"/>
        <v>20</v>
      </c>
      <c r="EO23" s="660" t="s">
        <v>409</v>
      </c>
      <c r="EP23" s="723">
        <f t="shared" si="35"/>
        <v>0</v>
      </c>
      <c r="EQ23" s="650">
        <f t="shared" si="36"/>
        <v>0</v>
      </c>
      <c r="ER23" s="723">
        <f t="shared" si="37"/>
        <v>0</v>
      </c>
      <c r="ES23" s="650">
        <f t="shared" si="38"/>
        <v>0</v>
      </c>
      <c r="ET23" s="723">
        <f t="shared" si="39"/>
        <v>0</v>
      </c>
      <c r="EU23" s="650">
        <f t="shared" si="40"/>
        <v>0</v>
      </c>
      <c r="EV23" s="650">
        <f t="shared" si="41"/>
        <v>0</v>
      </c>
      <c r="EW23" s="723">
        <f t="shared" si="42"/>
        <v>0</v>
      </c>
      <c r="EX23" s="724">
        <f t="shared" si="43"/>
        <v>0</v>
      </c>
      <c r="FH23" s="551">
        <f t="shared" si="121"/>
        <v>20</v>
      </c>
      <c r="FI23" s="670">
        <f t="shared" si="44"/>
        <v>20</v>
      </c>
      <c r="FJ23" s="660" t="s">
        <v>409</v>
      </c>
      <c r="FK23" s="723">
        <f t="shared" si="45"/>
        <v>0</v>
      </c>
      <c r="FL23" s="650">
        <f t="shared" si="46"/>
        <v>0</v>
      </c>
      <c r="FM23" s="724">
        <f t="shared" si="47"/>
        <v>0</v>
      </c>
      <c r="FQ23" s="222">
        <v>20</v>
      </c>
      <c r="FR23" s="670">
        <v>20</v>
      </c>
      <c r="FS23" s="660" t="s">
        <v>409</v>
      </c>
      <c r="FT23" s="650">
        <f t="shared" si="48"/>
        <v>0</v>
      </c>
      <c r="FU23" s="650">
        <f t="shared" si="49"/>
        <v>0</v>
      </c>
      <c r="FV23" s="650">
        <f t="shared" si="50"/>
        <v>0</v>
      </c>
      <c r="FW23" s="650">
        <f t="shared" si="86"/>
        <v>0</v>
      </c>
      <c r="FX23" s="650">
        <f t="shared" si="51"/>
        <v>0</v>
      </c>
      <c r="FY23" s="650">
        <f t="shared" si="52"/>
        <v>0</v>
      </c>
      <c r="FZ23" s="650">
        <f t="shared" si="53"/>
        <v>0</v>
      </c>
      <c r="GA23" s="650">
        <f t="shared" si="54"/>
        <v>0</v>
      </c>
      <c r="GB23" s="747">
        <f t="shared" si="55"/>
        <v>0</v>
      </c>
      <c r="GF23" s="551">
        <f t="shared" si="87"/>
        <v>20</v>
      </c>
      <c r="GG23" s="670">
        <f t="shared" si="56"/>
        <v>20</v>
      </c>
      <c r="GH23" s="660" t="s">
        <v>409</v>
      </c>
      <c r="GI23" s="724">
        <f t="shared" si="57"/>
        <v>0</v>
      </c>
      <c r="GJ23" s="724">
        <f t="shared" si="58"/>
        <v>0</v>
      </c>
      <c r="GK23" s="724">
        <f t="shared" si="59"/>
        <v>0</v>
      </c>
      <c r="GL23" s="724">
        <f t="shared" si="60"/>
        <v>0</v>
      </c>
      <c r="GM23" s="724">
        <f t="shared" si="61"/>
        <v>0</v>
      </c>
      <c r="GN23" s="724">
        <f t="shared" si="62"/>
        <v>0</v>
      </c>
      <c r="GO23" s="724">
        <f t="shared" si="63"/>
        <v>0</v>
      </c>
      <c r="GP23" s="724">
        <f t="shared" si="64"/>
        <v>0</v>
      </c>
      <c r="GQ23" s="661">
        <f t="shared" si="88"/>
        <v>0</v>
      </c>
      <c r="GR23" s="530"/>
      <c r="GU23" s="222">
        <f t="shared" si="89"/>
        <v>20</v>
      </c>
      <c r="GV23" s="670">
        <f t="shared" si="65"/>
        <v>20</v>
      </c>
      <c r="GW23" s="660" t="s">
        <v>409</v>
      </c>
      <c r="GX23" s="663" t="s">
        <v>384</v>
      </c>
      <c r="GY23" s="671">
        <f t="shared" si="90"/>
        <v>0</v>
      </c>
      <c r="GZ23" s="661">
        <f t="shared" si="66"/>
        <v>0</v>
      </c>
      <c r="HA23" s="724">
        <f t="shared" si="91"/>
        <v>0</v>
      </c>
      <c r="HB23" s="650">
        <f t="shared" si="67"/>
        <v>0</v>
      </c>
      <c r="HC23" s="750">
        <f t="shared" si="68"/>
        <v>0</v>
      </c>
      <c r="HD23" s="549"/>
      <c r="HG23" s="549"/>
      <c r="HH23" s="549"/>
      <c r="HI23" s="549"/>
      <c r="HJ23" s="549"/>
      <c r="HK23" s="549"/>
      <c r="HL23" s="549"/>
      <c r="HM23" s="549"/>
      <c r="HP23" s="551">
        <f t="shared" si="122"/>
        <v>20</v>
      </c>
      <c r="HQ23" s="762">
        <f t="shared" si="69"/>
        <v>20</v>
      </c>
      <c r="HR23" s="660" t="s">
        <v>409</v>
      </c>
      <c r="HS23" s="661">
        <f t="shared" si="92"/>
        <v>0</v>
      </c>
      <c r="HT23" s="757">
        <f t="shared" si="93"/>
        <v>0</v>
      </c>
      <c r="HU23" s="757">
        <v>7.2849089999999999</v>
      </c>
      <c r="HV23" s="651">
        <f t="shared" si="94"/>
        <v>-1</v>
      </c>
      <c r="HW23" s="757">
        <f t="shared" si="95"/>
        <v>-7.2849089999999999</v>
      </c>
      <c r="HX23" s="652">
        <v>10</v>
      </c>
      <c r="IO23" s="551">
        <v>20</v>
      </c>
      <c r="IP23" s="762">
        <v>20</v>
      </c>
      <c r="IQ23" s="660" t="s">
        <v>409</v>
      </c>
      <c r="IR23" s="772">
        <f t="shared" si="96"/>
        <v>0</v>
      </c>
      <c r="IS23" s="773">
        <f t="shared" si="96"/>
        <v>0</v>
      </c>
      <c r="IT23" s="774">
        <f t="shared" si="96"/>
        <v>0</v>
      </c>
      <c r="IU23" s="991">
        <v>0</v>
      </c>
      <c r="IV23" s="661">
        <f t="shared" si="98"/>
        <v>0</v>
      </c>
      <c r="IW23" s="772">
        <f t="shared" si="123"/>
        <v>0</v>
      </c>
      <c r="IX23" s="772">
        <f t="shared" si="99"/>
        <v>0</v>
      </c>
      <c r="IY23" s="455">
        <f>IT23</f>
        <v>0</v>
      </c>
      <c r="IZ23" s="555">
        <f t="shared" ref="IZ23:IZ24" si="128">IY23</f>
        <v>0</v>
      </c>
      <c r="JA23" s="772">
        <f t="shared" si="102"/>
        <v>0</v>
      </c>
      <c r="JB23" s="778">
        <f t="shared" si="103"/>
        <v>0</v>
      </c>
      <c r="JF23" s="551">
        <f t="shared" si="124"/>
        <v>20</v>
      </c>
      <c r="JG23" s="762">
        <f t="shared" si="70"/>
        <v>20</v>
      </c>
      <c r="JH23" s="660" t="s">
        <v>409</v>
      </c>
      <c r="JI23" s="661">
        <f t="shared" si="104"/>
        <v>0</v>
      </c>
      <c r="JJ23" s="757">
        <f t="shared" si="105"/>
        <v>0</v>
      </c>
      <c r="JK23" s="757">
        <v>7.2849089999999999</v>
      </c>
      <c r="JL23" s="651">
        <f t="shared" si="126"/>
        <v>-1</v>
      </c>
      <c r="JM23" s="757">
        <f t="shared" si="107"/>
        <v>-7.2849089999999999</v>
      </c>
      <c r="JN23" s="652">
        <v>10</v>
      </c>
      <c r="JS23" s="757">
        <v>0</v>
      </c>
      <c r="JT23" s="757">
        <f t="shared" si="108"/>
        <v>0</v>
      </c>
      <c r="JU23" s="1010">
        <v>0</v>
      </c>
      <c r="JV23" s="1010">
        <f t="shared" si="109"/>
        <v>0</v>
      </c>
      <c r="JW23" s="1069"/>
      <c r="JX23" s="997">
        <v>0</v>
      </c>
      <c r="JY23" s="997">
        <f t="shared" si="111"/>
        <v>0</v>
      </c>
      <c r="JZ23" s="516"/>
      <c r="KA23" s="516"/>
      <c r="KB23" s="516"/>
      <c r="KC23" s="516"/>
      <c r="KE23" s="516"/>
      <c r="KF23" s="516"/>
    </row>
    <row r="24" spans="2:292" ht="16.5" x14ac:dyDescent="0.3">
      <c r="I24" s="543">
        <v>21</v>
      </c>
      <c r="J24" s="654">
        <f t="shared" si="1"/>
        <v>21</v>
      </c>
      <c r="K24" s="655" t="s">
        <v>410</v>
      </c>
      <c r="L24" s="991">
        <v>0</v>
      </c>
      <c r="M24" s="657">
        <f t="shared" si="2"/>
        <v>0</v>
      </c>
      <c r="N24" s="656">
        <v>546</v>
      </c>
      <c r="O24" s="656">
        <f t="shared" si="71"/>
        <v>0</v>
      </c>
      <c r="P24" s="657">
        <f t="shared" si="3"/>
        <v>0</v>
      </c>
      <c r="Q24" s="658" t="s">
        <v>384</v>
      </c>
      <c r="U24" s="545">
        <f t="shared" si="113"/>
        <v>21</v>
      </c>
      <c r="V24" s="669">
        <f t="shared" si="4"/>
        <v>21</v>
      </c>
      <c r="W24" s="655" t="s">
        <v>410</v>
      </c>
      <c r="X24" s="646">
        <f t="shared" si="72"/>
        <v>0</v>
      </c>
      <c r="Y24" s="657">
        <f t="shared" si="5"/>
        <v>0</v>
      </c>
      <c r="AC24" s="545">
        <f t="shared" si="114"/>
        <v>21</v>
      </c>
      <c r="AD24" s="678">
        <v>21</v>
      </c>
      <c r="AE24" s="679" t="s">
        <v>410</v>
      </c>
      <c r="AF24" s="680">
        <v>5.0999999999999996</v>
      </c>
      <c r="AP24" s="545">
        <f t="shared" si="74"/>
        <v>21</v>
      </c>
      <c r="AQ24" s="693">
        <f t="shared" si="6"/>
        <v>21</v>
      </c>
      <c r="AR24" s="655" t="s">
        <v>410</v>
      </c>
      <c r="AS24" s="655">
        <f t="shared" si="7"/>
        <v>5.0999999999999996</v>
      </c>
      <c r="AT24" s="694">
        <f t="shared" si="75"/>
        <v>0</v>
      </c>
      <c r="AU24" s="694">
        <f t="shared" si="115"/>
        <v>0</v>
      </c>
      <c r="AV24" s="695">
        <f t="shared" si="8"/>
        <v>0</v>
      </c>
      <c r="AW24" s="696">
        <f t="shared" si="9"/>
        <v>21.592508896755891</v>
      </c>
      <c r="AX24" s="646">
        <f t="shared" si="125"/>
        <v>0</v>
      </c>
      <c r="AY24" s="544">
        <f t="shared" si="76"/>
        <v>0</v>
      </c>
      <c r="AZ24" s="548">
        <f t="shared" si="10"/>
        <v>0</v>
      </c>
      <c r="BK24" s="543">
        <f t="shared" si="116"/>
        <v>21</v>
      </c>
      <c r="BL24" s="658">
        <f t="shared" si="11"/>
        <v>21</v>
      </c>
      <c r="BM24" s="655" t="s">
        <v>410</v>
      </c>
      <c r="BN24" s="657">
        <f t="shared" si="77"/>
        <v>0</v>
      </c>
      <c r="BO24" s="646">
        <f t="shared" si="78"/>
        <v>0</v>
      </c>
      <c r="BP24" s="657">
        <f t="shared" si="79"/>
        <v>0</v>
      </c>
      <c r="BQ24" s="646">
        <f t="shared" si="80"/>
        <v>0</v>
      </c>
      <c r="BR24" s="708">
        <f t="shared" si="12"/>
        <v>0</v>
      </c>
      <c r="BS24" s="709">
        <f t="shared" si="13"/>
        <v>0</v>
      </c>
      <c r="BV24" s="15"/>
      <c r="BW24" s="190"/>
      <c r="BX24" s="190"/>
      <c r="BY24" s="190"/>
      <c r="BZ24" s="190"/>
      <c r="CA24" s="190"/>
      <c r="CB24" s="190"/>
      <c r="CC24" s="190"/>
      <c r="CD24" s="190"/>
      <c r="CH24" s="543">
        <f t="shared" si="117"/>
        <v>21</v>
      </c>
      <c r="CI24" s="678">
        <f t="shared" si="15"/>
        <v>21</v>
      </c>
      <c r="CJ24" s="655" t="s">
        <v>410</v>
      </c>
      <c r="CK24" s="657">
        <f t="shared" si="16"/>
        <v>0</v>
      </c>
      <c r="CL24" s="646">
        <f t="shared" si="17"/>
        <v>0</v>
      </c>
      <c r="CM24" s="657">
        <f t="shared" si="18"/>
        <v>0</v>
      </c>
      <c r="CN24" s="646">
        <f t="shared" si="19"/>
        <v>0</v>
      </c>
      <c r="CO24" s="646">
        <f t="shared" si="20"/>
        <v>0</v>
      </c>
      <c r="CP24" s="657">
        <f t="shared" si="21"/>
        <v>0</v>
      </c>
      <c r="CQ24" s="709">
        <f t="shared" si="22"/>
        <v>0</v>
      </c>
      <c r="DD24" s="15"/>
      <c r="DG24" s="545">
        <f t="shared" si="118"/>
        <v>21</v>
      </c>
      <c r="DH24" s="739">
        <f t="shared" si="23"/>
        <v>21</v>
      </c>
      <c r="DI24" s="655" t="s">
        <v>410</v>
      </c>
      <c r="DJ24" s="657">
        <f t="shared" si="24"/>
        <v>0</v>
      </c>
      <c r="DK24" s="646">
        <f t="shared" si="82"/>
        <v>0</v>
      </c>
      <c r="DL24" s="657">
        <f t="shared" si="25"/>
        <v>0</v>
      </c>
      <c r="DM24" s="646">
        <f t="shared" si="26"/>
        <v>0</v>
      </c>
      <c r="DN24" s="657">
        <f t="shared" si="27"/>
        <v>0</v>
      </c>
      <c r="DO24" s="646">
        <f t="shared" si="83"/>
        <v>0</v>
      </c>
      <c r="DP24" s="646">
        <f t="shared" si="84"/>
        <v>0</v>
      </c>
      <c r="DQ24" s="657">
        <f t="shared" si="28"/>
        <v>0</v>
      </c>
      <c r="DR24" s="709">
        <f t="shared" si="29"/>
        <v>0</v>
      </c>
      <c r="DV24" s="545">
        <f t="shared" si="119"/>
        <v>21</v>
      </c>
      <c r="DW24" s="739">
        <f t="shared" si="30"/>
        <v>21</v>
      </c>
      <c r="DX24" s="655" t="s">
        <v>410</v>
      </c>
      <c r="DY24" s="657">
        <f t="shared" si="31"/>
        <v>0</v>
      </c>
      <c r="DZ24" s="646">
        <f t="shared" si="32"/>
        <v>0</v>
      </c>
      <c r="EA24" s="709">
        <f t="shared" si="33"/>
        <v>0</v>
      </c>
      <c r="EM24" s="545">
        <f t="shared" si="120"/>
        <v>21</v>
      </c>
      <c r="EN24" s="739">
        <f t="shared" si="34"/>
        <v>21</v>
      </c>
      <c r="EO24" s="655" t="s">
        <v>410</v>
      </c>
      <c r="EP24" s="657">
        <f t="shared" si="35"/>
        <v>0</v>
      </c>
      <c r="EQ24" s="646">
        <f t="shared" si="36"/>
        <v>0</v>
      </c>
      <c r="ER24" s="657">
        <f t="shared" si="37"/>
        <v>0</v>
      </c>
      <c r="ES24" s="646">
        <f t="shared" si="38"/>
        <v>0</v>
      </c>
      <c r="ET24" s="657">
        <f t="shared" si="39"/>
        <v>0</v>
      </c>
      <c r="EU24" s="646">
        <f t="shared" si="40"/>
        <v>0</v>
      </c>
      <c r="EV24" s="646">
        <f t="shared" si="41"/>
        <v>0</v>
      </c>
      <c r="EW24" s="657">
        <f t="shared" si="42"/>
        <v>0</v>
      </c>
      <c r="EX24" s="709">
        <f t="shared" si="43"/>
        <v>0</v>
      </c>
      <c r="FH24" s="545">
        <f t="shared" si="121"/>
        <v>21</v>
      </c>
      <c r="FI24" s="669">
        <f t="shared" si="44"/>
        <v>21</v>
      </c>
      <c r="FJ24" s="655" t="s">
        <v>410</v>
      </c>
      <c r="FK24" s="657">
        <f t="shared" si="45"/>
        <v>0</v>
      </c>
      <c r="FL24" s="646">
        <f t="shared" si="46"/>
        <v>0</v>
      </c>
      <c r="FM24" s="709">
        <f t="shared" si="47"/>
        <v>0</v>
      </c>
      <c r="FQ24" s="543">
        <v>21</v>
      </c>
      <c r="FR24" s="669">
        <v>21</v>
      </c>
      <c r="FS24" s="655" t="s">
        <v>410</v>
      </c>
      <c r="FT24" s="646">
        <f t="shared" si="48"/>
        <v>0</v>
      </c>
      <c r="FU24" s="646">
        <f t="shared" si="49"/>
        <v>0</v>
      </c>
      <c r="FV24" s="646">
        <f t="shared" si="50"/>
        <v>0</v>
      </c>
      <c r="FW24" s="646">
        <f t="shared" si="86"/>
        <v>0</v>
      </c>
      <c r="FX24" s="646">
        <f t="shared" si="51"/>
        <v>0</v>
      </c>
      <c r="FY24" s="646">
        <f t="shared" si="52"/>
        <v>0</v>
      </c>
      <c r="FZ24" s="646">
        <f t="shared" si="53"/>
        <v>0</v>
      </c>
      <c r="GA24" s="646">
        <f t="shared" si="54"/>
        <v>0</v>
      </c>
      <c r="GB24" s="746">
        <f t="shared" si="55"/>
        <v>0</v>
      </c>
      <c r="GF24" s="545">
        <f t="shared" si="87"/>
        <v>21</v>
      </c>
      <c r="GG24" s="669">
        <f t="shared" si="56"/>
        <v>21</v>
      </c>
      <c r="GH24" s="655" t="s">
        <v>410</v>
      </c>
      <c r="GI24" s="709">
        <f t="shared" si="57"/>
        <v>0</v>
      </c>
      <c r="GJ24" s="709">
        <f t="shared" si="58"/>
        <v>0</v>
      </c>
      <c r="GK24" s="709">
        <f t="shared" si="59"/>
        <v>0</v>
      </c>
      <c r="GL24" s="709">
        <f t="shared" si="60"/>
        <v>0</v>
      </c>
      <c r="GM24" s="709">
        <f t="shared" si="61"/>
        <v>0</v>
      </c>
      <c r="GN24" s="709">
        <f t="shared" si="62"/>
        <v>0</v>
      </c>
      <c r="GO24" s="709">
        <f t="shared" si="63"/>
        <v>0</v>
      </c>
      <c r="GP24" s="709">
        <f t="shared" si="64"/>
        <v>0</v>
      </c>
      <c r="GQ24" s="656">
        <f t="shared" si="88"/>
        <v>0</v>
      </c>
      <c r="GR24" s="530"/>
      <c r="GU24" s="543">
        <f t="shared" si="89"/>
        <v>21</v>
      </c>
      <c r="GV24" s="669">
        <f t="shared" si="65"/>
        <v>21</v>
      </c>
      <c r="GW24" s="655" t="s">
        <v>410</v>
      </c>
      <c r="GX24" s="658" t="s">
        <v>384</v>
      </c>
      <c r="GY24" s="646">
        <f t="shared" si="90"/>
        <v>0</v>
      </c>
      <c r="GZ24" s="656">
        <f t="shared" si="66"/>
        <v>0</v>
      </c>
      <c r="HA24" s="709">
        <f t="shared" si="91"/>
        <v>0</v>
      </c>
      <c r="HB24" s="646">
        <f t="shared" si="67"/>
        <v>0</v>
      </c>
      <c r="HC24" s="749">
        <f t="shared" si="68"/>
        <v>0</v>
      </c>
      <c r="HD24" s="549"/>
      <c r="HG24" s="549"/>
      <c r="HH24" s="549"/>
      <c r="HI24" s="549"/>
      <c r="HJ24" s="549"/>
      <c r="HK24" s="549"/>
      <c r="HL24" s="549"/>
      <c r="HM24" s="549"/>
      <c r="HP24" s="545">
        <f t="shared" si="122"/>
        <v>21</v>
      </c>
      <c r="HQ24" s="761">
        <f t="shared" si="69"/>
        <v>21</v>
      </c>
      <c r="HR24" s="655" t="s">
        <v>410</v>
      </c>
      <c r="HS24" s="656">
        <f t="shared" si="92"/>
        <v>0</v>
      </c>
      <c r="HT24" s="756">
        <f t="shared" si="93"/>
        <v>0</v>
      </c>
      <c r="HU24" s="756">
        <v>8.3326989999999999</v>
      </c>
      <c r="HV24" s="647">
        <f t="shared" si="94"/>
        <v>-1</v>
      </c>
      <c r="HW24" s="756">
        <f t="shared" si="95"/>
        <v>-8.3326989999999999</v>
      </c>
      <c r="HX24" s="648">
        <v>10</v>
      </c>
      <c r="IO24" s="545">
        <v>21</v>
      </c>
      <c r="IP24" s="761">
        <v>21</v>
      </c>
      <c r="IQ24" s="655" t="s">
        <v>410</v>
      </c>
      <c r="IR24" s="769">
        <f t="shared" si="96"/>
        <v>0</v>
      </c>
      <c r="IS24" s="770">
        <f t="shared" si="96"/>
        <v>0</v>
      </c>
      <c r="IT24" s="771">
        <f t="shared" si="96"/>
        <v>0</v>
      </c>
      <c r="IU24" s="991">
        <v>0</v>
      </c>
      <c r="IV24" s="656">
        <f t="shared" si="98"/>
        <v>0</v>
      </c>
      <c r="IW24" s="769">
        <f t="shared" si="123"/>
        <v>0</v>
      </c>
      <c r="IX24" s="769">
        <f t="shared" si="99"/>
        <v>0</v>
      </c>
      <c r="IY24" s="550">
        <f>IT24</f>
        <v>0</v>
      </c>
      <c r="IZ24" s="550">
        <f t="shared" si="128"/>
        <v>0</v>
      </c>
      <c r="JA24" s="769">
        <f t="shared" si="102"/>
        <v>0</v>
      </c>
      <c r="JB24" s="746">
        <f t="shared" si="103"/>
        <v>0</v>
      </c>
      <c r="JF24" s="545">
        <f t="shared" si="124"/>
        <v>21</v>
      </c>
      <c r="JG24" s="761">
        <f t="shared" si="70"/>
        <v>21</v>
      </c>
      <c r="JH24" s="655" t="s">
        <v>410</v>
      </c>
      <c r="JI24" s="656">
        <f>L24</f>
        <v>0</v>
      </c>
      <c r="JJ24" s="756">
        <f t="shared" si="105"/>
        <v>0</v>
      </c>
      <c r="JK24" s="756">
        <v>8.3326989999999999</v>
      </c>
      <c r="JL24" s="647">
        <f t="shared" si="126"/>
        <v>-1</v>
      </c>
      <c r="JM24" s="756">
        <f t="shared" si="107"/>
        <v>-8.3326989999999999</v>
      </c>
      <c r="JN24" s="648">
        <v>10</v>
      </c>
      <c r="JS24" s="756">
        <v>0</v>
      </c>
      <c r="JT24" s="756">
        <f t="shared" si="108"/>
        <v>0</v>
      </c>
      <c r="JU24" s="1009">
        <v>0</v>
      </c>
      <c r="JV24" s="1009">
        <f t="shared" si="109"/>
        <v>0</v>
      </c>
      <c r="JW24" s="1069"/>
      <c r="JX24" s="997">
        <v>0</v>
      </c>
      <c r="JY24" s="997">
        <f t="shared" si="111"/>
        <v>0</v>
      </c>
      <c r="JZ24" s="516"/>
      <c r="KA24" s="516"/>
      <c r="KB24" s="516"/>
      <c r="KC24" s="516"/>
      <c r="KE24" s="516"/>
      <c r="KF24" s="516"/>
    </row>
    <row r="25" spans="2:292" ht="16.5" x14ac:dyDescent="0.3">
      <c r="I25" s="222">
        <v>22</v>
      </c>
      <c r="J25" s="659">
        <f t="shared" si="1"/>
        <v>22</v>
      </c>
      <c r="K25" s="660" t="s">
        <v>411</v>
      </c>
      <c r="L25" s="991">
        <v>95127152</v>
      </c>
      <c r="M25" s="662">
        <f t="shared" si="2"/>
        <v>4.3585873183622621E-2</v>
      </c>
      <c r="N25" s="661">
        <v>1450</v>
      </c>
      <c r="O25" s="661">
        <f t="shared" si="71"/>
        <v>65604.932413793096</v>
      </c>
      <c r="P25" s="662">
        <f t="shared" si="3"/>
        <v>3.7031359648310835E-2</v>
      </c>
      <c r="Q25" s="663" t="s">
        <v>379</v>
      </c>
      <c r="U25" s="551">
        <f t="shared" si="113"/>
        <v>22</v>
      </c>
      <c r="V25" s="670">
        <f t="shared" si="4"/>
        <v>22</v>
      </c>
      <c r="W25" s="660" t="s">
        <v>411</v>
      </c>
      <c r="X25" s="671">
        <f t="shared" si="72"/>
        <v>4458816.6460171035</v>
      </c>
      <c r="Y25" s="662">
        <f t="shared" si="5"/>
        <v>4.6217844599837243E-2</v>
      </c>
      <c r="AC25" s="551">
        <f t="shared" si="114"/>
        <v>22</v>
      </c>
      <c r="AD25" s="681">
        <v>22</v>
      </c>
      <c r="AE25" s="682" t="s">
        <v>411</v>
      </c>
      <c r="AF25" s="683">
        <v>3.68</v>
      </c>
      <c r="AP25" s="551">
        <f t="shared" si="74"/>
        <v>22</v>
      </c>
      <c r="AQ25" s="697">
        <f t="shared" si="6"/>
        <v>22</v>
      </c>
      <c r="AR25" s="660" t="s">
        <v>411</v>
      </c>
      <c r="AS25" s="660">
        <f t="shared" si="7"/>
        <v>3.68</v>
      </c>
      <c r="AT25" s="698">
        <f t="shared" si="75"/>
        <v>95127152</v>
      </c>
      <c r="AU25" s="698">
        <f t="shared" si="115"/>
        <v>97241.088711111108</v>
      </c>
      <c r="AV25" s="699">
        <f t="shared" si="8"/>
        <v>100441.10714263249</v>
      </c>
      <c r="AW25" s="700">
        <f t="shared" si="9"/>
        <v>21.592508896755891</v>
      </c>
      <c r="AX25" s="671">
        <f t="shared" si="125"/>
        <v>2168775.4995773039</v>
      </c>
      <c r="AY25" s="465">
        <f t="shared" si="76"/>
        <v>5.1831416685668139E-2</v>
      </c>
      <c r="AZ25" s="553">
        <f t="shared" si="10"/>
        <v>2.2798699999999998</v>
      </c>
      <c r="BK25" s="222">
        <f t="shared" si="116"/>
        <v>22</v>
      </c>
      <c r="BL25" s="663">
        <f t="shared" si="11"/>
        <v>22</v>
      </c>
      <c r="BM25" s="660" t="s">
        <v>411</v>
      </c>
      <c r="BN25" s="662">
        <f t="shared" si="77"/>
        <v>5.1831416685668139E-2</v>
      </c>
      <c r="BO25" s="671">
        <f t="shared" si="78"/>
        <v>496892.91035050526</v>
      </c>
      <c r="BP25" s="662">
        <f t="shared" si="79"/>
        <v>4.3585873183622621E-2</v>
      </c>
      <c r="BQ25" s="671">
        <f t="shared" si="80"/>
        <v>417845.25218981307</v>
      </c>
      <c r="BR25" s="710">
        <f t="shared" si="12"/>
        <v>914738.16254031833</v>
      </c>
      <c r="BS25" s="711">
        <f t="shared" si="13"/>
        <v>0.96159499999999998</v>
      </c>
      <c r="BV25" s="15"/>
      <c r="BW25" s="190"/>
      <c r="BX25" s="190"/>
      <c r="BY25" s="190"/>
      <c r="BZ25" s="190"/>
      <c r="CA25" s="190"/>
      <c r="CB25" s="190"/>
      <c r="CC25" s="190"/>
      <c r="CD25" s="190"/>
      <c r="CH25" s="222">
        <f t="shared" si="117"/>
        <v>22</v>
      </c>
      <c r="CI25" s="681">
        <f t="shared" si="15"/>
        <v>22</v>
      </c>
      <c r="CJ25" s="660" t="s">
        <v>411</v>
      </c>
      <c r="CK25" s="723">
        <f t="shared" si="16"/>
        <v>4.3585873183622621E-2</v>
      </c>
      <c r="CL25" s="650">
        <f t="shared" si="17"/>
        <v>255489.00296476731</v>
      </c>
      <c r="CM25" s="723">
        <f t="shared" si="18"/>
        <v>3.7031359648310835E-2</v>
      </c>
      <c r="CN25" s="650">
        <f t="shared" si="19"/>
        <v>711445.66509643628</v>
      </c>
      <c r="CO25" s="650">
        <f t="shared" si="20"/>
        <v>966934.66806120356</v>
      </c>
      <c r="CP25" s="723">
        <f t="shared" si="21"/>
        <v>3.856367520283991E-2</v>
      </c>
      <c r="CQ25" s="724">
        <f t="shared" si="22"/>
        <v>1.016465</v>
      </c>
      <c r="DD25" s="15"/>
      <c r="DG25" s="551">
        <f t="shared" si="118"/>
        <v>22</v>
      </c>
      <c r="DH25" s="677">
        <f t="shared" si="23"/>
        <v>22</v>
      </c>
      <c r="DI25" s="660" t="s">
        <v>411</v>
      </c>
      <c r="DJ25" s="723">
        <f t="shared" si="24"/>
        <v>3.856367520283991E-2</v>
      </c>
      <c r="DK25" s="650">
        <f t="shared" si="82"/>
        <v>14526.733394828063</v>
      </c>
      <c r="DL25" s="723">
        <f t="shared" si="25"/>
        <v>3.7031359648310835E-2</v>
      </c>
      <c r="DM25" s="650">
        <f t="shared" si="26"/>
        <v>90657.786514400184</v>
      </c>
      <c r="DN25" s="723">
        <f t="shared" si="27"/>
        <v>4.3585873183622621E-2</v>
      </c>
      <c r="DO25" s="650">
        <f t="shared" si="83"/>
        <v>154680.33684107815</v>
      </c>
      <c r="DP25" s="650">
        <f t="shared" si="84"/>
        <v>259864.85675030638</v>
      </c>
      <c r="DQ25" s="723">
        <f t="shared" si="28"/>
        <v>4.0771465691989188E-2</v>
      </c>
      <c r="DR25" s="724">
        <f t="shared" si="29"/>
        <v>0.27317599999999997</v>
      </c>
      <c r="DV25" s="551">
        <f t="shared" si="119"/>
        <v>22</v>
      </c>
      <c r="DW25" s="677">
        <f t="shared" si="30"/>
        <v>22</v>
      </c>
      <c r="DX25" s="660" t="s">
        <v>411</v>
      </c>
      <c r="DY25" s="723">
        <f t="shared" si="31"/>
        <v>3.7031359648310835E-2</v>
      </c>
      <c r="DZ25" s="650">
        <f t="shared" si="32"/>
        <v>148503.45908797061</v>
      </c>
      <c r="EA25" s="724">
        <f t="shared" si="33"/>
        <v>0.15611</v>
      </c>
      <c r="EM25" s="551">
        <f t="shared" si="120"/>
        <v>22</v>
      </c>
      <c r="EN25" s="677">
        <f t="shared" si="34"/>
        <v>22</v>
      </c>
      <c r="EO25" s="660" t="s">
        <v>411</v>
      </c>
      <c r="EP25" s="723">
        <f t="shared" si="35"/>
        <v>4.6217844599837243E-2</v>
      </c>
      <c r="EQ25" s="650">
        <f t="shared" si="36"/>
        <v>361352.7449209661</v>
      </c>
      <c r="ER25" s="723">
        <f t="shared" si="37"/>
        <v>3.856367520283991E-2</v>
      </c>
      <c r="ES25" s="650">
        <f t="shared" si="38"/>
        <v>38919.744117707167</v>
      </c>
      <c r="ET25" s="723">
        <f t="shared" si="39"/>
        <v>4.3585873183622621E-2</v>
      </c>
      <c r="EU25" s="650">
        <f t="shared" si="40"/>
        <v>186211.96435829441</v>
      </c>
      <c r="EV25" s="650">
        <f t="shared" si="41"/>
        <v>586484.45339696773</v>
      </c>
      <c r="EW25" s="723">
        <f t="shared" si="42"/>
        <v>4.4769797811751076E-2</v>
      </c>
      <c r="EX25" s="724">
        <f t="shared" si="43"/>
        <v>0.61652700000000005</v>
      </c>
      <c r="FH25" s="551">
        <f t="shared" si="121"/>
        <v>22</v>
      </c>
      <c r="FI25" s="670">
        <f t="shared" si="44"/>
        <v>22</v>
      </c>
      <c r="FJ25" s="660" t="s">
        <v>411</v>
      </c>
      <c r="FK25" s="723">
        <f t="shared" si="45"/>
        <v>4.6217844599837243E-2</v>
      </c>
      <c r="FL25" s="650">
        <f t="shared" si="46"/>
        <v>907058.24349609378</v>
      </c>
      <c r="FM25" s="724">
        <f t="shared" si="47"/>
        <v>0.95352199999999998</v>
      </c>
      <c r="FQ25" s="222">
        <v>22</v>
      </c>
      <c r="FR25" s="670">
        <v>22</v>
      </c>
      <c r="FS25" s="660" t="s">
        <v>411</v>
      </c>
      <c r="FT25" s="650">
        <f t="shared" si="48"/>
        <v>2168775.4995773039</v>
      </c>
      <c r="FU25" s="650">
        <f t="shared" si="49"/>
        <v>914738.16254031833</v>
      </c>
      <c r="FV25" s="650">
        <f t="shared" si="50"/>
        <v>966934.66806120356</v>
      </c>
      <c r="FW25" s="650">
        <f t="shared" si="86"/>
        <v>259864.85675030638</v>
      </c>
      <c r="FX25" s="650">
        <f t="shared" si="51"/>
        <v>148503.45908797061</v>
      </c>
      <c r="FY25" s="650">
        <f t="shared" si="52"/>
        <v>586484.45339696773</v>
      </c>
      <c r="FZ25" s="650">
        <f t="shared" si="53"/>
        <v>907058.24349609378</v>
      </c>
      <c r="GA25" s="650">
        <f t="shared" ref="GA25:GA27" si="129">SUM(FT25:FZ25)</f>
        <v>5952359.342910165</v>
      </c>
      <c r="GB25" s="747">
        <f t="shared" si="55"/>
        <v>6.2572660000000004</v>
      </c>
      <c r="GF25" s="551">
        <f t="shared" si="87"/>
        <v>22</v>
      </c>
      <c r="GG25" s="670">
        <f t="shared" si="56"/>
        <v>22</v>
      </c>
      <c r="GH25" s="660" t="s">
        <v>411</v>
      </c>
      <c r="GI25" s="724">
        <f t="shared" si="57"/>
        <v>2.2798699999999998</v>
      </c>
      <c r="GJ25" s="724">
        <f t="shared" si="58"/>
        <v>0.96159499999999998</v>
      </c>
      <c r="GK25" s="724">
        <f t="shared" si="59"/>
        <v>1.016465</v>
      </c>
      <c r="GL25" s="724">
        <f t="shared" si="60"/>
        <v>0.27317599999999997</v>
      </c>
      <c r="GM25" s="724">
        <f t="shared" si="61"/>
        <v>0.15611</v>
      </c>
      <c r="GN25" s="724">
        <f t="shared" si="62"/>
        <v>0.61652700000000005</v>
      </c>
      <c r="GO25" s="724">
        <f t="shared" si="63"/>
        <v>0.95352199999999998</v>
      </c>
      <c r="GP25" s="724">
        <f t="shared" si="64"/>
        <v>6.2572660000000004</v>
      </c>
      <c r="GQ25" s="661">
        <f t="shared" si="88"/>
        <v>95127152</v>
      </c>
      <c r="GR25" s="530"/>
      <c r="GU25" s="222">
        <f t="shared" si="89"/>
        <v>22</v>
      </c>
      <c r="GV25" s="670">
        <f t="shared" si="65"/>
        <v>22</v>
      </c>
      <c r="GW25" s="660" t="s">
        <v>411</v>
      </c>
      <c r="GX25" s="663" t="s">
        <v>379</v>
      </c>
      <c r="GY25" s="671">
        <f t="shared" si="90"/>
        <v>5952359.342910165</v>
      </c>
      <c r="GZ25" s="661">
        <f t="shared" si="66"/>
        <v>95127152</v>
      </c>
      <c r="HA25" s="724">
        <f t="shared" si="91"/>
        <v>6.2572660000000004</v>
      </c>
      <c r="HB25" s="650">
        <f t="shared" si="67"/>
        <v>5952358.9388643205</v>
      </c>
      <c r="HC25" s="750">
        <f t="shared" si="68"/>
        <v>-0.40404584445059299</v>
      </c>
      <c r="HD25" s="549"/>
      <c r="HG25" s="549"/>
      <c r="HH25" s="549"/>
      <c r="HI25" s="549"/>
      <c r="HJ25" s="549"/>
      <c r="HK25" s="549"/>
      <c r="HL25" s="549"/>
      <c r="HM25" s="549"/>
      <c r="HP25" s="551">
        <f t="shared" si="122"/>
        <v>22</v>
      </c>
      <c r="HQ25" s="762">
        <f t="shared" si="69"/>
        <v>22</v>
      </c>
      <c r="HR25" s="660" t="s">
        <v>411</v>
      </c>
      <c r="HS25" s="661">
        <f t="shared" si="92"/>
        <v>95127152</v>
      </c>
      <c r="HT25" s="757">
        <f t="shared" si="93"/>
        <v>6.2572660000000004</v>
      </c>
      <c r="HU25" s="757">
        <v>5.4577720000000003</v>
      </c>
      <c r="HV25" s="651">
        <f t="shared" si="94"/>
        <v>0.14648724790995304</v>
      </c>
      <c r="HW25" s="757">
        <f t="shared" si="95"/>
        <v>0.79949400000000015</v>
      </c>
      <c r="HX25" s="652">
        <v>10</v>
      </c>
      <c r="IO25" s="551">
        <v>22</v>
      </c>
      <c r="IP25" s="762">
        <v>22</v>
      </c>
      <c r="IQ25" s="660" t="s">
        <v>411</v>
      </c>
      <c r="IR25" s="772">
        <f t="shared" si="96"/>
        <v>5952359.342910165</v>
      </c>
      <c r="IS25" s="773">
        <f t="shared" si="96"/>
        <v>95127152</v>
      </c>
      <c r="IT25" s="774">
        <f t="shared" si="96"/>
        <v>6.2572660000000004</v>
      </c>
      <c r="IU25" s="661">
        <f t="shared" si="97"/>
        <v>14000911.699434476</v>
      </c>
      <c r="IV25" s="661">
        <f t="shared" si="98"/>
        <v>81126240.300565526</v>
      </c>
      <c r="IW25" s="772">
        <f t="shared" si="123"/>
        <v>210013.67549151712</v>
      </c>
      <c r="IX25" s="772">
        <f t="shared" si="99"/>
        <v>5742345.6674186476</v>
      </c>
      <c r="IY25" s="455">
        <f t="shared" si="100"/>
        <v>6.0364948878303935</v>
      </c>
      <c r="IZ25" s="455">
        <f>IY25+1.5</f>
        <v>7.5364948878303935</v>
      </c>
      <c r="JA25" s="772">
        <f t="shared" si="102"/>
        <v>5952359.3429101659</v>
      </c>
      <c r="JB25" s="747">
        <f t="shared" si="103"/>
        <v>0.22077111216960699</v>
      </c>
      <c r="JF25" s="551">
        <f t="shared" si="124"/>
        <v>22</v>
      </c>
      <c r="JG25" s="762">
        <f t="shared" si="70"/>
        <v>22</v>
      </c>
      <c r="JH25" s="660" t="s">
        <v>411</v>
      </c>
      <c r="JI25" s="661">
        <f t="shared" si="104"/>
        <v>95127152</v>
      </c>
      <c r="JJ25" s="757">
        <f t="shared" si="105"/>
        <v>6.0364948878303935</v>
      </c>
      <c r="JK25" s="757">
        <v>5.2355386918523079</v>
      </c>
      <c r="JL25" s="651">
        <f t="shared" si="126"/>
        <v>0.1529844860519427</v>
      </c>
      <c r="JM25" s="757">
        <f t="shared" si="107"/>
        <v>0.80095619597808554</v>
      </c>
      <c r="JN25" s="652">
        <v>10</v>
      </c>
      <c r="JS25" s="757">
        <v>6.0364948878303935</v>
      </c>
      <c r="JT25" s="757">
        <f t="shared" si="108"/>
        <v>0</v>
      </c>
      <c r="JU25" s="1010">
        <v>95127152</v>
      </c>
      <c r="JV25" s="1010">
        <f t="shared" si="109"/>
        <v>0</v>
      </c>
      <c r="JW25" s="1069">
        <f t="shared" si="110"/>
        <v>0</v>
      </c>
      <c r="JX25" s="997">
        <v>5742345.6674186476</v>
      </c>
      <c r="JY25" s="997">
        <f t="shared" si="111"/>
        <v>5742345.6674186476</v>
      </c>
      <c r="JZ25" s="516"/>
      <c r="KA25" s="516"/>
      <c r="KB25" s="516"/>
      <c r="KC25" s="516"/>
      <c r="KE25" s="516"/>
      <c r="KF25" s="516"/>
    </row>
    <row r="26" spans="2:292" ht="16.5" x14ac:dyDescent="0.3">
      <c r="I26" s="543">
        <v>23</v>
      </c>
      <c r="J26" s="654">
        <f t="shared" si="1"/>
        <v>23</v>
      </c>
      <c r="K26" s="655" t="s">
        <v>412</v>
      </c>
      <c r="L26" s="991">
        <v>554610</v>
      </c>
      <c r="M26" s="657">
        <f t="shared" si="2"/>
        <v>2.5411421048712719E-4</v>
      </c>
      <c r="N26" s="656">
        <v>243</v>
      </c>
      <c r="O26" s="656">
        <f t="shared" si="71"/>
        <v>2282.3456790123455</v>
      </c>
      <c r="P26" s="657">
        <f t="shared" si="3"/>
        <v>1.2882928245118476E-3</v>
      </c>
      <c r="Q26" s="658" t="s">
        <v>379</v>
      </c>
      <c r="U26" s="545">
        <f t="shared" si="113"/>
        <v>23</v>
      </c>
      <c r="V26" s="669">
        <f t="shared" si="4"/>
        <v>23</v>
      </c>
      <c r="W26" s="655" t="s">
        <v>412</v>
      </c>
      <c r="X26" s="646">
        <f t="shared" si="72"/>
        <v>80566.816688923165</v>
      </c>
      <c r="Y26" s="657">
        <f t="shared" si="5"/>
        <v>8.3511498885212093E-4</v>
      </c>
      <c r="AC26" s="545">
        <f t="shared" si="114"/>
        <v>23</v>
      </c>
      <c r="AD26" s="678">
        <v>23</v>
      </c>
      <c r="AE26" s="679" t="s">
        <v>412</v>
      </c>
      <c r="AF26" s="680">
        <v>10.01</v>
      </c>
      <c r="AP26" s="545">
        <f t="shared" si="74"/>
        <v>23</v>
      </c>
      <c r="AQ26" s="693">
        <f t="shared" si="6"/>
        <v>23</v>
      </c>
      <c r="AR26" s="655" t="s">
        <v>412</v>
      </c>
      <c r="AS26" s="655">
        <f t="shared" si="7"/>
        <v>10.01</v>
      </c>
      <c r="AT26" s="694">
        <f t="shared" si="75"/>
        <v>554610</v>
      </c>
      <c r="AU26" s="694">
        <f t="shared" si="115"/>
        <v>1542.1239166666667</v>
      </c>
      <c r="AV26" s="695">
        <f t="shared" si="8"/>
        <v>1592.872268237307</v>
      </c>
      <c r="AW26" s="696">
        <f t="shared" si="9"/>
        <v>21.592508896755891</v>
      </c>
      <c r="AX26" s="646">
        <f t="shared" si="125"/>
        <v>34394.108623309789</v>
      </c>
      <c r="AY26" s="544">
        <f t="shared" si="76"/>
        <v>8.2198243936928929E-4</v>
      </c>
      <c r="AZ26" s="548">
        <f t="shared" si="10"/>
        <v>6.2014940000000003</v>
      </c>
      <c r="BK26" s="543">
        <f t="shared" si="116"/>
        <v>23</v>
      </c>
      <c r="BL26" s="658">
        <f t="shared" si="11"/>
        <v>23</v>
      </c>
      <c r="BM26" s="655" t="s">
        <v>412</v>
      </c>
      <c r="BN26" s="657">
        <f t="shared" si="77"/>
        <v>8.2198243936928929E-4</v>
      </c>
      <c r="BO26" s="646">
        <f t="shared" si="78"/>
        <v>7880.1096453176933</v>
      </c>
      <c r="BP26" s="657">
        <f t="shared" si="79"/>
        <v>2.5411421048712719E-4</v>
      </c>
      <c r="BQ26" s="646">
        <f t="shared" si="80"/>
        <v>2436.1199767337953</v>
      </c>
      <c r="BR26" s="708">
        <f t="shared" si="12"/>
        <v>10316.229622051489</v>
      </c>
      <c r="BS26" s="709">
        <f t="shared" si="13"/>
        <v>1.860087</v>
      </c>
      <c r="BV26" s="15"/>
      <c r="BW26" s="190"/>
      <c r="BX26" s="190"/>
      <c r="BY26" s="190"/>
      <c r="BZ26" s="190"/>
      <c r="CA26" s="190"/>
      <c r="CB26" s="190"/>
      <c r="CC26" s="190"/>
      <c r="CD26" s="190"/>
      <c r="CH26" s="543">
        <f t="shared" si="117"/>
        <v>23</v>
      </c>
      <c r="CI26" s="678">
        <f t="shared" si="15"/>
        <v>23</v>
      </c>
      <c r="CJ26" s="655" t="s">
        <v>412</v>
      </c>
      <c r="CK26" s="657">
        <f t="shared" si="16"/>
        <v>2.5411421048712719E-4</v>
      </c>
      <c r="CL26" s="646">
        <f t="shared" si="17"/>
        <v>1489.5511213695286</v>
      </c>
      <c r="CM26" s="657">
        <f t="shared" si="18"/>
        <v>1.2882928245118476E-3</v>
      </c>
      <c r="CN26" s="646">
        <f t="shared" si="19"/>
        <v>24750.653340259025</v>
      </c>
      <c r="CO26" s="646">
        <f t="shared" si="20"/>
        <v>26240.204461628553</v>
      </c>
      <c r="CP26" s="657">
        <f t="shared" si="21"/>
        <v>1.0465223303486966E-3</v>
      </c>
      <c r="CQ26" s="709">
        <f t="shared" si="22"/>
        <v>4.7312890000000003</v>
      </c>
      <c r="DD26" s="15"/>
      <c r="DG26" s="545">
        <f t="shared" si="118"/>
        <v>23</v>
      </c>
      <c r="DH26" s="739">
        <f t="shared" si="23"/>
        <v>23</v>
      </c>
      <c r="DI26" s="655" t="s">
        <v>412</v>
      </c>
      <c r="DJ26" s="657">
        <f t="shared" si="24"/>
        <v>1.0465223303486966E-3</v>
      </c>
      <c r="DK26" s="646">
        <f t="shared" si="82"/>
        <v>394.21945145908057</v>
      </c>
      <c r="DL26" s="657">
        <f t="shared" si="25"/>
        <v>1.2882928245118476E-3</v>
      </c>
      <c r="DM26" s="646">
        <f t="shared" si="26"/>
        <v>3153.9154101233812</v>
      </c>
      <c r="DN26" s="657">
        <f t="shared" si="27"/>
        <v>2.5411421048712719E-4</v>
      </c>
      <c r="DO26" s="646">
        <f t="shared" si="83"/>
        <v>901.8167769327348</v>
      </c>
      <c r="DP26" s="646">
        <f t="shared" si="84"/>
        <v>4449.9516385151965</v>
      </c>
      <c r="DQ26" s="657">
        <f t="shared" si="28"/>
        <v>6.9817463134333381E-4</v>
      </c>
      <c r="DR26" s="709">
        <f t="shared" si="29"/>
        <v>0.80235699999999999</v>
      </c>
      <c r="DV26" s="545">
        <f t="shared" si="119"/>
        <v>23</v>
      </c>
      <c r="DW26" s="739">
        <f t="shared" si="30"/>
        <v>23</v>
      </c>
      <c r="DX26" s="655" t="s">
        <v>412</v>
      </c>
      <c r="DY26" s="657">
        <f t="shared" si="31"/>
        <v>1.2882928245118476E-3</v>
      </c>
      <c r="DZ26" s="646">
        <f t="shared" si="32"/>
        <v>5166.3223434181418</v>
      </c>
      <c r="EA26" s="709">
        <f t="shared" si="33"/>
        <v>0.93152299999999999</v>
      </c>
      <c r="EM26" s="545">
        <f t="shared" si="120"/>
        <v>23</v>
      </c>
      <c r="EN26" s="739">
        <f t="shared" si="34"/>
        <v>23</v>
      </c>
      <c r="EO26" s="655" t="s">
        <v>412</v>
      </c>
      <c r="EP26" s="657">
        <f t="shared" si="35"/>
        <v>8.3511498885212093E-4</v>
      </c>
      <c r="EQ26" s="646">
        <f t="shared" si="36"/>
        <v>6529.3199230545379</v>
      </c>
      <c r="ER26" s="657">
        <f t="shared" si="37"/>
        <v>1.0465223303486966E-3</v>
      </c>
      <c r="ES26" s="646">
        <f t="shared" si="38"/>
        <v>1056.1851560153791</v>
      </c>
      <c r="ET26" s="657">
        <f t="shared" si="39"/>
        <v>2.5411421048712719E-4</v>
      </c>
      <c r="EU26" s="646">
        <f t="shared" si="40"/>
        <v>1085.6523650866122</v>
      </c>
      <c r="EV26" s="646">
        <f t="shared" si="41"/>
        <v>8671.1574441565299</v>
      </c>
      <c r="EW26" s="657">
        <f t="shared" si="42"/>
        <v>6.6192030039368679E-4</v>
      </c>
      <c r="EX26" s="709">
        <f t="shared" si="43"/>
        <v>1.563469</v>
      </c>
      <c r="FH26" s="545">
        <f t="shared" si="121"/>
        <v>23</v>
      </c>
      <c r="FI26" s="669">
        <f t="shared" si="44"/>
        <v>23</v>
      </c>
      <c r="FJ26" s="655" t="s">
        <v>412</v>
      </c>
      <c r="FK26" s="657">
        <f t="shared" si="45"/>
        <v>8.3511498885212093E-4</v>
      </c>
      <c r="FL26" s="646">
        <f>Y26*$FL$28</f>
        <v>16389.728717641938</v>
      </c>
      <c r="FM26" s="709">
        <f t="shared" si="47"/>
        <v>2.9551810000000001</v>
      </c>
      <c r="FQ26" s="543">
        <v>23</v>
      </c>
      <c r="FR26" s="669">
        <v>23</v>
      </c>
      <c r="FS26" s="655" t="s">
        <v>412</v>
      </c>
      <c r="FT26" s="646">
        <f t="shared" si="48"/>
        <v>34394.108623309789</v>
      </c>
      <c r="FU26" s="646">
        <f t="shared" si="49"/>
        <v>10316.229622051489</v>
      </c>
      <c r="FV26" s="646">
        <f t="shared" si="50"/>
        <v>26240.204461628553</v>
      </c>
      <c r="FW26" s="646">
        <f t="shared" si="86"/>
        <v>4449.9516385151965</v>
      </c>
      <c r="FX26" s="646">
        <f t="shared" si="51"/>
        <v>5166.3223434181418</v>
      </c>
      <c r="FY26" s="646">
        <f t="shared" si="52"/>
        <v>8671.1574441565299</v>
      </c>
      <c r="FZ26" s="646">
        <f t="shared" si="53"/>
        <v>16389.728717641938</v>
      </c>
      <c r="GA26" s="646">
        <f t="shared" si="129"/>
        <v>105627.70285072163</v>
      </c>
      <c r="GB26" s="746">
        <f t="shared" si="55"/>
        <v>19.045401999999999</v>
      </c>
      <c r="GF26" s="545">
        <f t="shared" si="87"/>
        <v>23</v>
      </c>
      <c r="GG26" s="669">
        <f t="shared" si="56"/>
        <v>23</v>
      </c>
      <c r="GH26" s="655" t="s">
        <v>412</v>
      </c>
      <c r="GI26" s="709">
        <f t="shared" si="57"/>
        <v>6.2014940000000003</v>
      </c>
      <c r="GJ26" s="709">
        <f t="shared" si="58"/>
        <v>1.860087</v>
      </c>
      <c r="GK26" s="709">
        <f t="shared" si="59"/>
        <v>4.7312890000000003</v>
      </c>
      <c r="GL26" s="709">
        <f t="shared" si="60"/>
        <v>0.80235699999999999</v>
      </c>
      <c r="GM26" s="709">
        <f t="shared" si="61"/>
        <v>0.93152299999999999</v>
      </c>
      <c r="GN26" s="709">
        <f t="shared" si="62"/>
        <v>1.563469</v>
      </c>
      <c r="GO26" s="709">
        <f t="shared" si="63"/>
        <v>2.9551810000000001</v>
      </c>
      <c r="GP26" s="709">
        <f t="shared" si="64"/>
        <v>19.045401999999999</v>
      </c>
      <c r="GQ26" s="656">
        <f t="shared" si="88"/>
        <v>554610</v>
      </c>
      <c r="GR26" s="530"/>
      <c r="GU26" s="543">
        <f t="shared" si="89"/>
        <v>23</v>
      </c>
      <c r="GV26" s="669">
        <f t="shared" si="65"/>
        <v>23</v>
      </c>
      <c r="GW26" s="655" t="s">
        <v>412</v>
      </c>
      <c r="GX26" s="658" t="s">
        <v>379</v>
      </c>
      <c r="GY26" s="646">
        <f t="shared" si="90"/>
        <v>105627.70285072163</v>
      </c>
      <c r="GZ26" s="656">
        <f t="shared" si="66"/>
        <v>554610</v>
      </c>
      <c r="HA26" s="709">
        <f t="shared" si="91"/>
        <v>19.045401999999999</v>
      </c>
      <c r="HB26" s="646">
        <f t="shared" si="67"/>
        <v>105627.7040322</v>
      </c>
      <c r="HC26" s="749">
        <f t="shared" si="68"/>
        <v>1.181478364742361E-3</v>
      </c>
      <c r="HD26" s="549"/>
      <c r="HG26" s="549"/>
      <c r="HH26" s="549"/>
      <c r="HI26" s="549"/>
      <c r="HJ26" s="549"/>
      <c r="HK26" s="549"/>
      <c r="HL26" s="549"/>
      <c r="HM26" s="549"/>
      <c r="HP26" s="545">
        <f t="shared" si="122"/>
        <v>23</v>
      </c>
      <c r="HQ26" s="761">
        <f t="shared" si="69"/>
        <v>23</v>
      </c>
      <c r="HR26" s="655" t="s">
        <v>412</v>
      </c>
      <c r="HS26" s="656">
        <f t="shared" si="92"/>
        <v>554610</v>
      </c>
      <c r="HT26" s="756">
        <f t="shared" si="93"/>
        <v>19.045401999999999</v>
      </c>
      <c r="HU26" s="756">
        <v>16.893163000000001</v>
      </c>
      <c r="HV26" s="647">
        <f t="shared" si="94"/>
        <v>0.12740296177808719</v>
      </c>
      <c r="HW26" s="756">
        <f t="shared" si="95"/>
        <v>2.152238999999998</v>
      </c>
      <c r="HX26" s="648">
        <v>25</v>
      </c>
      <c r="IO26" s="545">
        <v>23</v>
      </c>
      <c r="IP26" s="761">
        <v>23</v>
      </c>
      <c r="IQ26" s="655" t="s">
        <v>412</v>
      </c>
      <c r="IR26" s="769">
        <f t="shared" si="96"/>
        <v>105627.70285072163</v>
      </c>
      <c r="IS26" s="770">
        <f t="shared" si="96"/>
        <v>554610</v>
      </c>
      <c r="IT26" s="771">
        <f t="shared" si="96"/>
        <v>19.045401999999999</v>
      </c>
      <c r="IU26" s="656">
        <f t="shared" si="97"/>
        <v>81628.068058038305</v>
      </c>
      <c r="IV26" s="656">
        <f t="shared" si="98"/>
        <v>472981.93194196169</v>
      </c>
      <c r="IW26" s="769">
        <f t="shared" si="123"/>
        <v>1224.4210208705745</v>
      </c>
      <c r="IX26" s="769">
        <f t="shared" si="99"/>
        <v>104403.28182985105</v>
      </c>
      <c r="IY26" s="550">
        <f>IX26/IS26*100</f>
        <v>18.824630250058792</v>
      </c>
      <c r="IZ26" s="550">
        <f t="shared" si="101"/>
        <v>20.324630250058792</v>
      </c>
      <c r="JA26" s="769">
        <f t="shared" si="102"/>
        <v>105627.70285072165</v>
      </c>
      <c r="JB26" s="746">
        <f t="shared" si="103"/>
        <v>0.22077174994120696</v>
      </c>
      <c r="JF26" s="545">
        <f t="shared" si="124"/>
        <v>23</v>
      </c>
      <c r="JG26" s="761">
        <f t="shared" si="70"/>
        <v>23</v>
      </c>
      <c r="JH26" s="655" t="s">
        <v>412</v>
      </c>
      <c r="JI26" s="656">
        <f t="shared" si="104"/>
        <v>554610</v>
      </c>
      <c r="JJ26" s="756">
        <f t="shared" si="105"/>
        <v>18.824630250058792</v>
      </c>
      <c r="JK26" s="756">
        <v>16.670930182281545</v>
      </c>
      <c r="JL26" s="647">
        <f t="shared" si="126"/>
        <v>0.12918895611873382</v>
      </c>
      <c r="JM26" s="756">
        <f t="shared" si="107"/>
        <v>2.1537000677772475</v>
      </c>
      <c r="JN26" s="648">
        <v>25</v>
      </c>
      <c r="JS26" s="756">
        <v>18.824630250058792</v>
      </c>
      <c r="JT26" s="756">
        <f t="shared" si="108"/>
        <v>0</v>
      </c>
      <c r="JU26" s="1009">
        <v>554610</v>
      </c>
      <c r="JV26" s="1009">
        <f t="shared" si="109"/>
        <v>0</v>
      </c>
      <c r="JW26" s="1069">
        <f t="shared" si="110"/>
        <v>0</v>
      </c>
      <c r="JX26" s="997">
        <v>104403.28182985107</v>
      </c>
      <c r="JY26" s="997">
        <f t="shared" si="111"/>
        <v>104403.28182985107</v>
      </c>
      <c r="JZ26" s="516"/>
      <c r="KA26" s="516"/>
      <c r="KB26" s="516"/>
      <c r="KC26" s="516"/>
      <c r="KE26" s="516"/>
      <c r="KF26" s="516"/>
    </row>
    <row r="27" spans="2:292" ht="17.25" thickBot="1" x14ac:dyDescent="0.35">
      <c r="I27" s="297">
        <v>24</v>
      </c>
      <c r="J27" s="664">
        <f t="shared" si="1"/>
        <v>24</v>
      </c>
      <c r="K27" s="665" t="s">
        <v>413</v>
      </c>
      <c r="L27" s="992">
        <v>0</v>
      </c>
      <c r="M27" s="667">
        <f t="shared" si="2"/>
        <v>0</v>
      </c>
      <c r="N27" s="666">
        <v>546</v>
      </c>
      <c r="O27" s="666">
        <f t="shared" si="71"/>
        <v>0</v>
      </c>
      <c r="P27" s="667">
        <f t="shared" si="3"/>
        <v>0</v>
      </c>
      <c r="Q27" s="668" t="s">
        <v>384</v>
      </c>
      <c r="U27" s="580">
        <f t="shared" si="113"/>
        <v>24</v>
      </c>
      <c r="V27" s="672">
        <f t="shared" si="4"/>
        <v>24</v>
      </c>
      <c r="W27" s="665" t="s">
        <v>413</v>
      </c>
      <c r="X27" s="673">
        <f t="shared" si="72"/>
        <v>0</v>
      </c>
      <c r="Y27" s="667">
        <f t="shared" si="5"/>
        <v>0</v>
      </c>
      <c r="AC27" s="570">
        <f t="shared" si="114"/>
        <v>24</v>
      </c>
      <c r="AD27" s="684">
        <v>24</v>
      </c>
      <c r="AE27" s="685" t="s">
        <v>413</v>
      </c>
      <c r="AF27" s="686">
        <v>5.4</v>
      </c>
      <c r="AP27" s="580">
        <f t="shared" si="74"/>
        <v>24</v>
      </c>
      <c r="AQ27" s="701">
        <f t="shared" si="6"/>
        <v>24</v>
      </c>
      <c r="AR27" s="665" t="s">
        <v>413</v>
      </c>
      <c r="AS27" s="665">
        <f t="shared" si="7"/>
        <v>5.4</v>
      </c>
      <c r="AT27" s="702">
        <f t="shared" si="75"/>
        <v>0</v>
      </c>
      <c r="AU27" s="702">
        <f t="shared" si="115"/>
        <v>0</v>
      </c>
      <c r="AV27" s="703">
        <f t="shared" si="8"/>
        <v>0</v>
      </c>
      <c r="AW27" s="704">
        <f t="shared" si="9"/>
        <v>21.592508896755891</v>
      </c>
      <c r="AX27" s="673">
        <f t="shared" si="125"/>
        <v>0</v>
      </c>
      <c r="AY27" s="554">
        <f t="shared" si="76"/>
        <v>0</v>
      </c>
      <c r="AZ27" s="581">
        <f t="shared" si="10"/>
        <v>0</v>
      </c>
      <c r="BD27" s="15"/>
      <c r="BE27" s="15"/>
      <c r="BF27" s="15"/>
      <c r="BG27" s="15"/>
      <c r="BK27" s="297">
        <f t="shared" si="116"/>
        <v>24</v>
      </c>
      <c r="BL27" s="668">
        <f t="shared" si="11"/>
        <v>24</v>
      </c>
      <c r="BM27" s="665" t="s">
        <v>413</v>
      </c>
      <c r="BN27" s="667">
        <f t="shared" si="77"/>
        <v>0</v>
      </c>
      <c r="BO27" s="673">
        <f t="shared" si="78"/>
        <v>0</v>
      </c>
      <c r="BP27" s="667">
        <f t="shared" si="79"/>
        <v>0</v>
      </c>
      <c r="BQ27" s="673">
        <f t="shared" si="80"/>
        <v>0</v>
      </c>
      <c r="BR27" s="712">
        <f t="shared" si="12"/>
        <v>0</v>
      </c>
      <c r="BS27" s="713">
        <f t="shared" si="13"/>
        <v>0</v>
      </c>
      <c r="BV27" s="15"/>
      <c r="BW27" s="190"/>
      <c r="BX27" s="190"/>
      <c r="BY27" s="190"/>
      <c r="BZ27" s="190"/>
      <c r="CA27" s="190"/>
      <c r="CB27" s="190"/>
      <c r="CC27" s="190"/>
      <c r="CD27" s="190"/>
      <c r="CH27" s="297">
        <f t="shared" si="117"/>
        <v>24</v>
      </c>
      <c r="CI27" s="725">
        <f t="shared" si="15"/>
        <v>24</v>
      </c>
      <c r="CJ27" s="665" t="s">
        <v>413</v>
      </c>
      <c r="CK27" s="726">
        <f t="shared" si="16"/>
        <v>0</v>
      </c>
      <c r="CL27" s="727">
        <f t="shared" si="17"/>
        <v>0</v>
      </c>
      <c r="CM27" s="726">
        <f t="shared" si="18"/>
        <v>0</v>
      </c>
      <c r="CN27" s="727">
        <f t="shared" si="19"/>
        <v>0</v>
      </c>
      <c r="CO27" s="727">
        <f t="shared" si="20"/>
        <v>0</v>
      </c>
      <c r="CP27" s="726">
        <f t="shared" si="21"/>
        <v>0</v>
      </c>
      <c r="CQ27" s="728">
        <f t="shared" si="22"/>
        <v>0</v>
      </c>
      <c r="DD27" s="15"/>
      <c r="DG27" s="580">
        <f t="shared" si="118"/>
        <v>24</v>
      </c>
      <c r="DH27" s="740">
        <f t="shared" si="23"/>
        <v>24</v>
      </c>
      <c r="DI27" s="665" t="s">
        <v>413</v>
      </c>
      <c r="DJ27" s="726">
        <f t="shared" si="24"/>
        <v>0</v>
      </c>
      <c r="DK27" s="727">
        <f t="shared" si="82"/>
        <v>0</v>
      </c>
      <c r="DL27" s="726">
        <f t="shared" si="25"/>
        <v>0</v>
      </c>
      <c r="DM27" s="727">
        <f t="shared" si="26"/>
        <v>0</v>
      </c>
      <c r="DN27" s="726">
        <f t="shared" si="27"/>
        <v>0</v>
      </c>
      <c r="DO27" s="727">
        <f t="shared" si="83"/>
        <v>0</v>
      </c>
      <c r="DP27" s="727">
        <f t="shared" si="84"/>
        <v>0</v>
      </c>
      <c r="DQ27" s="726">
        <f t="shared" si="28"/>
        <v>0</v>
      </c>
      <c r="DR27" s="728">
        <f t="shared" si="29"/>
        <v>0</v>
      </c>
      <c r="DV27" s="580">
        <f t="shared" si="119"/>
        <v>24</v>
      </c>
      <c r="DW27" s="740">
        <f t="shared" si="30"/>
        <v>24</v>
      </c>
      <c r="DX27" s="665" t="s">
        <v>413</v>
      </c>
      <c r="DY27" s="726">
        <f t="shared" si="31"/>
        <v>0</v>
      </c>
      <c r="DZ27" s="727">
        <f t="shared" si="32"/>
        <v>0</v>
      </c>
      <c r="EA27" s="728">
        <f t="shared" si="33"/>
        <v>0</v>
      </c>
      <c r="EM27" s="580">
        <f t="shared" si="120"/>
        <v>24</v>
      </c>
      <c r="EN27" s="740">
        <f t="shared" si="34"/>
        <v>24</v>
      </c>
      <c r="EO27" s="665" t="s">
        <v>413</v>
      </c>
      <c r="EP27" s="726">
        <f t="shared" si="35"/>
        <v>0</v>
      </c>
      <c r="EQ27" s="727">
        <f t="shared" si="36"/>
        <v>0</v>
      </c>
      <c r="ER27" s="726">
        <f t="shared" si="37"/>
        <v>0</v>
      </c>
      <c r="ES27" s="727">
        <f t="shared" si="38"/>
        <v>0</v>
      </c>
      <c r="ET27" s="726">
        <f t="shared" si="39"/>
        <v>0</v>
      </c>
      <c r="EU27" s="727">
        <f t="shared" si="40"/>
        <v>0</v>
      </c>
      <c r="EV27" s="727">
        <f t="shared" si="41"/>
        <v>0</v>
      </c>
      <c r="EW27" s="726">
        <f t="shared" si="42"/>
        <v>0</v>
      </c>
      <c r="EX27" s="728">
        <f t="shared" si="43"/>
        <v>0</v>
      </c>
      <c r="FH27" s="580">
        <f t="shared" si="121"/>
        <v>24</v>
      </c>
      <c r="FI27" s="672">
        <f t="shared" si="44"/>
        <v>24</v>
      </c>
      <c r="FJ27" s="665" t="s">
        <v>413</v>
      </c>
      <c r="FK27" s="726">
        <f t="shared" si="45"/>
        <v>0</v>
      </c>
      <c r="FL27" s="727">
        <f t="shared" si="46"/>
        <v>0</v>
      </c>
      <c r="FM27" s="728">
        <f t="shared" si="47"/>
        <v>0</v>
      </c>
      <c r="FQ27" s="297">
        <v>24</v>
      </c>
      <c r="FR27" s="672">
        <v>24</v>
      </c>
      <c r="FS27" s="665" t="s">
        <v>413</v>
      </c>
      <c r="FT27" s="727">
        <f t="shared" si="48"/>
        <v>0</v>
      </c>
      <c r="FU27" s="727">
        <f t="shared" si="49"/>
        <v>0</v>
      </c>
      <c r="FV27" s="727">
        <f t="shared" si="50"/>
        <v>0</v>
      </c>
      <c r="FW27" s="727">
        <f t="shared" si="86"/>
        <v>0</v>
      </c>
      <c r="FX27" s="727">
        <f t="shared" si="51"/>
        <v>0</v>
      </c>
      <c r="FY27" s="727">
        <f t="shared" si="52"/>
        <v>0</v>
      </c>
      <c r="FZ27" s="727">
        <f t="shared" si="53"/>
        <v>0</v>
      </c>
      <c r="GA27" s="727">
        <f t="shared" si="129"/>
        <v>0</v>
      </c>
      <c r="GB27" s="748">
        <f t="shared" si="55"/>
        <v>0</v>
      </c>
      <c r="GF27" s="580">
        <f t="shared" si="87"/>
        <v>24</v>
      </c>
      <c r="GG27" s="672">
        <f t="shared" si="56"/>
        <v>24</v>
      </c>
      <c r="GH27" s="665" t="s">
        <v>413</v>
      </c>
      <c r="GI27" s="728">
        <f t="shared" si="57"/>
        <v>0</v>
      </c>
      <c r="GJ27" s="728">
        <f t="shared" si="58"/>
        <v>0</v>
      </c>
      <c r="GK27" s="728">
        <f t="shared" si="59"/>
        <v>0</v>
      </c>
      <c r="GL27" s="728">
        <f t="shared" si="60"/>
        <v>0</v>
      </c>
      <c r="GM27" s="728">
        <f t="shared" si="61"/>
        <v>0</v>
      </c>
      <c r="GN27" s="728">
        <f t="shared" si="62"/>
        <v>0</v>
      </c>
      <c r="GO27" s="728">
        <f t="shared" si="63"/>
        <v>0</v>
      </c>
      <c r="GP27" s="728">
        <f t="shared" si="64"/>
        <v>0</v>
      </c>
      <c r="GQ27" s="666">
        <f t="shared" si="88"/>
        <v>0</v>
      </c>
      <c r="GR27" s="530"/>
      <c r="GU27" s="297">
        <f t="shared" si="89"/>
        <v>24</v>
      </c>
      <c r="GV27" s="672">
        <f t="shared" si="65"/>
        <v>24</v>
      </c>
      <c r="GW27" s="665" t="s">
        <v>413</v>
      </c>
      <c r="GX27" s="668" t="s">
        <v>384</v>
      </c>
      <c r="GY27" s="673">
        <f t="shared" si="90"/>
        <v>0</v>
      </c>
      <c r="GZ27" s="666">
        <f t="shared" si="66"/>
        <v>0</v>
      </c>
      <c r="HA27" s="728">
        <f t="shared" si="91"/>
        <v>0</v>
      </c>
      <c r="HB27" s="727">
        <f t="shared" si="67"/>
        <v>0</v>
      </c>
      <c r="HC27" s="751">
        <f t="shared" si="68"/>
        <v>0</v>
      </c>
      <c r="HD27" s="549"/>
      <c r="HG27" s="549"/>
      <c r="HH27" s="549"/>
      <c r="HI27" s="549"/>
      <c r="HJ27" s="549"/>
      <c r="HK27" s="549"/>
      <c r="HL27" s="549"/>
      <c r="HM27" s="549"/>
      <c r="HP27" s="580">
        <f t="shared" si="122"/>
        <v>24</v>
      </c>
      <c r="HQ27" s="763">
        <f t="shared" si="69"/>
        <v>24</v>
      </c>
      <c r="HR27" s="665" t="s">
        <v>413</v>
      </c>
      <c r="HS27" s="666">
        <f t="shared" si="92"/>
        <v>0</v>
      </c>
      <c r="HT27" s="758">
        <f t="shared" si="93"/>
        <v>0</v>
      </c>
      <c r="HU27" s="758">
        <v>8.7916229999999995</v>
      </c>
      <c r="HV27" s="759">
        <f t="shared" si="94"/>
        <v>-1</v>
      </c>
      <c r="HW27" s="758">
        <f t="shared" si="95"/>
        <v>-8.7916229999999995</v>
      </c>
      <c r="HX27" s="760">
        <v>10</v>
      </c>
      <c r="IO27" s="580">
        <v>24</v>
      </c>
      <c r="IP27" s="763">
        <v>24</v>
      </c>
      <c r="IQ27" s="665" t="s">
        <v>413</v>
      </c>
      <c r="IR27" s="775">
        <f t="shared" si="96"/>
        <v>0</v>
      </c>
      <c r="IS27" s="776">
        <f t="shared" si="96"/>
        <v>0</v>
      </c>
      <c r="IT27" s="777">
        <f t="shared" si="96"/>
        <v>0</v>
      </c>
      <c r="IU27" s="992">
        <v>0</v>
      </c>
      <c r="IV27" s="666">
        <f t="shared" si="98"/>
        <v>0</v>
      </c>
      <c r="IW27" s="775">
        <f t="shared" si="123"/>
        <v>0</v>
      </c>
      <c r="IX27" s="775">
        <f t="shared" si="99"/>
        <v>0</v>
      </c>
      <c r="IY27" s="582">
        <f>IT27</f>
        <v>0</v>
      </c>
      <c r="IZ27" s="583">
        <f>IY27</f>
        <v>0</v>
      </c>
      <c r="JA27" s="775">
        <f t="shared" si="102"/>
        <v>0</v>
      </c>
      <c r="JB27" s="779">
        <f t="shared" si="103"/>
        <v>0</v>
      </c>
      <c r="JF27" s="551">
        <f t="shared" si="124"/>
        <v>24</v>
      </c>
      <c r="JG27" s="762">
        <f t="shared" si="70"/>
        <v>24</v>
      </c>
      <c r="JH27" s="660" t="s">
        <v>413</v>
      </c>
      <c r="JI27" s="661">
        <f t="shared" si="104"/>
        <v>0</v>
      </c>
      <c r="JJ27" s="757">
        <f t="shared" si="105"/>
        <v>0</v>
      </c>
      <c r="JK27" s="757">
        <v>8.7916229999999995</v>
      </c>
      <c r="JL27" s="651">
        <f t="shared" si="126"/>
        <v>-1</v>
      </c>
      <c r="JM27" s="757">
        <f t="shared" si="107"/>
        <v>-8.7916229999999995</v>
      </c>
      <c r="JN27" s="652">
        <v>10</v>
      </c>
      <c r="JS27" s="757">
        <v>0</v>
      </c>
      <c r="JT27" s="757">
        <f t="shared" si="108"/>
        <v>0</v>
      </c>
      <c r="JU27" s="1010">
        <v>0</v>
      </c>
      <c r="JV27" s="1010">
        <f t="shared" si="109"/>
        <v>0</v>
      </c>
      <c r="JW27" s="1069"/>
      <c r="JX27" s="997">
        <v>0</v>
      </c>
      <c r="JY27" s="997">
        <f t="shared" si="111"/>
        <v>0</v>
      </c>
      <c r="JZ27" s="516"/>
      <c r="KA27" s="516"/>
      <c r="KB27" s="516"/>
      <c r="KC27" s="516"/>
      <c r="KE27" s="516"/>
      <c r="KF27" s="516"/>
    </row>
    <row r="28" spans="2:292" ht="17.25" thickBot="1" x14ac:dyDescent="0.35">
      <c r="F28" s="15"/>
      <c r="G28" s="584"/>
      <c r="H28" s="15"/>
      <c r="I28" s="585">
        <v>25</v>
      </c>
      <c r="J28" s="586"/>
      <c r="K28" s="566" t="s">
        <v>71</v>
      </c>
      <c r="L28" s="1007">
        <f>SUM(L4:L27)</f>
        <v>2182522571</v>
      </c>
      <c r="M28" s="784">
        <f>SUM(M4:M27)</f>
        <v>0.99999999999999989</v>
      </c>
      <c r="N28" s="587">
        <f>SUM(N4:N27)</f>
        <v>17767</v>
      </c>
      <c r="O28" s="587">
        <f>SUM(O4:O27)</f>
        <v>1771604.7435699711</v>
      </c>
      <c r="P28" s="784">
        <f>SUM(P4:P27)</f>
        <v>0.99999999999999989</v>
      </c>
      <c r="Q28" s="588"/>
      <c r="R28" s="15"/>
      <c r="S28" s="584"/>
      <c r="T28" s="15"/>
      <c r="U28" s="585">
        <f>+U27+1</f>
        <v>25</v>
      </c>
      <c r="V28" s="674"/>
      <c r="W28" s="675" t="s">
        <v>71</v>
      </c>
      <c r="X28" s="785">
        <f>SUM(X4:X27)</f>
        <v>96473920.076160476</v>
      </c>
      <c r="Y28" s="784">
        <f>SUM(Y4:Y27)</f>
        <v>1</v>
      </c>
      <c r="Z28" s="15"/>
      <c r="AA28" s="584"/>
      <c r="AB28" s="15"/>
      <c r="AG28" s="15"/>
      <c r="AH28" s="584"/>
      <c r="AI28" s="15"/>
      <c r="AJ28" s="15"/>
      <c r="AK28" s="15"/>
      <c r="AL28" s="15"/>
      <c r="AP28" s="585">
        <f>+AP27+1</f>
        <v>25</v>
      </c>
      <c r="AQ28" s="590"/>
      <c r="AR28" s="591" t="s">
        <v>71</v>
      </c>
      <c r="AS28" s="592">
        <f>AL7</f>
        <v>3.0945712768850906</v>
      </c>
      <c r="AT28" s="587">
        <f>SUM(AT4:AT27)</f>
        <v>2182522571</v>
      </c>
      <c r="AU28" s="587">
        <f>SUM(AU4:AU27)</f>
        <v>1876103.2387138891</v>
      </c>
      <c r="AV28" s="587">
        <f>SUM(AV4:AV27)</f>
        <v>1937842.211640829</v>
      </c>
      <c r="AW28" s="593">
        <f>SUMPRODUCT(AW4:AW27,AT4:AT27)/AT28</f>
        <v>21.592508896755888</v>
      </c>
      <c r="AX28" s="594">
        <f>SUM(AX4:AX27)</f>
        <v>41842875.195363708</v>
      </c>
      <c r="AY28" s="595">
        <f t="shared" si="76"/>
        <v>1</v>
      </c>
      <c r="AZ28" s="596">
        <f>AX28*100/$L$28</f>
        <v>1.9171794945603662</v>
      </c>
      <c r="BA28" s="15"/>
      <c r="BB28" s="584"/>
      <c r="BC28" s="15"/>
      <c r="BD28" s="530"/>
      <c r="BE28" s="530"/>
      <c r="BF28" s="530"/>
      <c r="BG28" s="530"/>
      <c r="BH28" s="15"/>
      <c r="BI28" s="584"/>
      <c r="BJ28" s="15"/>
      <c r="BK28" s="562">
        <f>+BK27+1</f>
        <v>25</v>
      </c>
      <c r="BL28" s="597"/>
      <c r="BM28" s="598" t="s">
        <v>71</v>
      </c>
      <c r="BN28" s="599">
        <f>SUM(BN4:BN27)</f>
        <v>1</v>
      </c>
      <c r="BO28" s="564">
        <f>BG4</f>
        <v>9586712.8881295025</v>
      </c>
      <c r="BP28" s="599">
        <f>SUM(BP4:BP27)</f>
        <v>0.99999999999999989</v>
      </c>
      <c r="BQ28" s="564">
        <f>BG5</f>
        <v>9586712.8881295025</v>
      </c>
      <c r="BR28" s="600">
        <f>C6</f>
        <v>19173425.776259005</v>
      </c>
      <c r="BS28" s="601">
        <f>BR28*100/$L$28</f>
        <v>0.87849839589397793</v>
      </c>
      <c r="BT28" s="15"/>
      <c r="BU28" s="584"/>
      <c r="BV28" s="15"/>
      <c r="BW28" s="190"/>
      <c r="BX28" s="190"/>
      <c r="BY28" s="190"/>
      <c r="BZ28" s="190"/>
      <c r="CA28" s="190"/>
      <c r="CB28" s="190"/>
      <c r="CC28" s="190"/>
      <c r="CD28" s="190"/>
      <c r="CE28" s="15"/>
      <c r="CF28" s="584"/>
      <c r="CH28" s="562">
        <f>+CH27+1</f>
        <v>25</v>
      </c>
      <c r="CI28" s="589"/>
      <c r="CJ28" s="566" t="s">
        <v>71</v>
      </c>
      <c r="CK28" s="602">
        <f>SUM(CK4:CK27)</f>
        <v>0.99999999999999989</v>
      </c>
      <c r="CL28" s="564">
        <f>CC9</f>
        <v>5861738.7768834978</v>
      </c>
      <c r="CM28" s="602">
        <f>SUM(CM4:CM27)</f>
        <v>0.99999999999999989</v>
      </c>
      <c r="CN28" s="564">
        <f>CD9</f>
        <v>19211977.952013664</v>
      </c>
      <c r="CO28" s="564">
        <f>SUM(CO4:CO27)</f>
        <v>25073716.728897158</v>
      </c>
      <c r="CP28" s="602">
        <f>SUM(CP4:CP27)</f>
        <v>1.0000000000000002</v>
      </c>
      <c r="CQ28" s="601">
        <f>CO28*100/$L$28</f>
        <v>1.1488411190821612</v>
      </c>
      <c r="CS28" s="584"/>
      <c r="CT28" s="15"/>
      <c r="DD28" s="15"/>
      <c r="DE28" s="584"/>
      <c r="DF28" s="514"/>
      <c r="DG28" s="585">
        <f>DG27+1</f>
        <v>25</v>
      </c>
      <c r="DH28" s="590"/>
      <c r="DI28" s="591" t="s">
        <v>71</v>
      </c>
      <c r="DJ28" s="602">
        <f>SUM(DJ4:DJ27)</f>
        <v>1.0000000000000002</v>
      </c>
      <c r="DK28" s="564">
        <f>CZ7</f>
        <v>376694.73457649816</v>
      </c>
      <c r="DL28" s="602">
        <f>SUM(DL4:DL27)</f>
        <v>0.99999999999999989</v>
      </c>
      <c r="DM28" s="564">
        <f>DA7</f>
        <v>2448135.5093462113</v>
      </c>
      <c r="DN28" s="602">
        <f>SUM(DN4:DN27)</f>
        <v>0.99999999999999989</v>
      </c>
      <c r="DO28" s="564">
        <f>DB7</f>
        <v>3548864.0135629829</v>
      </c>
      <c r="DP28" s="564">
        <f>SUM(DP4:DP27)</f>
        <v>6373694.2574856915</v>
      </c>
      <c r="DQ28" s="602">
        <f>SUM(DQ4:DQ27)</f>
        <v>1</v>
      </c>
      <c r="DR28" s="601">
        <f>DP28*100/$L$28</f>
        <v>0.29203337194196155</v>
      </c>
      <c r="DS28" s="530"/>
      <c r="DT28" s="584"/>
      <c r="DU28" s="530"/>
      <c r="DV28" s="585">
        <f>DV27+1</f>
        <v>25</v>
      </c>
      <c r="DW28" s="590"/>
      <c r="DX28" s="591" t="s">
        <v>71</v>
      </c>
      <c r="DY28" s="602">
        <f>SUM(DY4:DY27)</f>
        <v>0.99999999999999989</v>
      </c>
      <c r="DZ28" s="564">
        <f>C9</f>
        <v>4010208.1181549192</v>
      </c>
      <c r="EA28" s="601">
        <f>DZ28*100/$L$28</f>
        <v>0.18374188525883151</v>
      </c>
      <c r="EB28" s="530"/>
      <c r="EC28" s="584"/>
      <c r="ED28" s="15"/>
      <c r="EJ28" s="15"/>
      <c r="EK28" s="584"/>
      <c r="EL28" s="15"/>
      <c r="EM28" s="585">
        <f>+EM27+1</f>
        <v>25</v>
      </c>
      <c r="EN28" s="590"/>
      <c r="EO28" s="591" t="s">
        <v>71</v>
      </c>
      <c r="EP28" s="602">
        <f>SUM(EP4:EP27)</f>
        <v>1</v>
      </c>
      <c r="EQ28" s="564">
        <f>EI4</f>
        <v>7818468.1274002688</v>
      </c>
      <c r="ER28" s="602">
        <f>SUM(ER4:ER27)</f>
        <v>1.0000000000000002</v>
      </c>
      <c r="ES28" s="564">
        <f>EI5</f>
        <v>1009233.2723215404</v>
      </c>
      <c r="ET28" s="602">
        <f>SUM(ET4:ET27)</f>
        <v>0.99999999999999989</v>
      </c>
      <c r="EU28" s="564">
        <f>EI6</f>
        <v>4272300.880007688</v>
      </c>
      <c r="EV28" s="564">
        <f>SUM(EV4:EV27)</f>
        <v>13100002.279729497</v>
      </c>
      <c r="EW28" s="602">
        <f>SUM(EW4:EW27)</f>
        <v>1</v>
      </c>
      <c r="EX28" s="601">
        <f>EV28*100/$L$28</f>
        <v>0.60022299213736274</v>
      </c>
      <c r="EY28" s="15"/>
      <c r="EZ28" s="584"/>
      <c r="FA28" s="15"/>
      <c r="FE28" s="15"/>
      <c r="FF28" s="584"/>
      <c r="FG28" s="530"/>
      <c r="FH28" s="585">
        <f>+FH27+1</f>
        <v>25</v>
      </c>
      <c r="FI28" s="603"/>
      <c r="FJ28" s="560" t="s">
        <v>71</v>
      </c>
      <c r="FK28" s="602">
        <f t="shared" si="45"/>
        <v>1</v>
      </c>
      <c r="FL28" s="564">
        <f>FD6</f>
        <v>19625714.945159689</v>
      </c>
      <c r="FM28" s="601">
        <f>FL28*100/$L$28</f>
        <v>0.89922162574325504</v>
      </c>
      <c r="FN28" s="15"/>
      <c r="FQ28" s="562">
        <v>25</v>
      </c>
      <c r="FR28" s="604"/>
      <c r="FS28" s="598" t="s">
        <v>71</v>
      </c>
      <c r="FT28" s="564">
        <f t="shared" ref="FT28:FY28" si="130">SUM(FT4:FT27)</f>
        <v>41842875.195363708</v>
      </c>
      <c r="FU28" s="564">
        <f t="shared" si="130"/>
        <v>19173425.776259005</v>
      </c>
      <c r="FV28" s="564">
        <f t="shared" si="130"/>
        <v>25073716.728897158</v>
      </c>
      <c r="FW28" s="564">
        <f t="shared" si="130"/>
        <v>6373694.2574856915</v>
      </c>
      <c r="FX28" s="564">
        <f t="shared" si="130"/>
        <v>4010208.1181549188</v>
      </c>
      <c r="FY28" s="564">
        <f t="shared" si="130"/>
        <v>13100002.279729497</v>
      </c>
      <c r="FZ28" s="564">
        <f>SUM(FZ4:FZ27)</f>
        <v>19625714.945159689</v>
      </c>
      <c r="GA28" s="564">
        <f>SUM(FT28:FZ28)</f>
        <v>129199637.30104966</v>
      </c>
      <c r="GB28" s="605">
        <v>5.9055510012352572</v>
      </c>
      <c r="GC28" s="15"/>
      <c r="GF28" s="585">
        <v>25</v>
      </c>
      <c r="GG28" s="606"/>
      <c r="GH28" s="566" t="s">
        <v>71</v>
      </c>
      <c r="GI28" s="601">
        <f t="shared" ref="GI28:GP28" si="131">FT28*100/$GQ$28</f>
        <v>1.9171794945603662</v>
      </c>
      <c r="GJ28" s="601">
        <f t="shared" si="131"/>
        <v>0.87849839589397793</v>
      </c>
      <c r="GK28" s="601">
        <f t="shared" si="131"/>
        <v>1.1488411190821612</v>
      </c>
      <c r="GL28" s="601">
        <f t="shared" si="131"/>
        <v>0.29203337194196155</v>
      </c>
      <c r="GM28" s="601">
        <f t="shared" si="131"/>
        <v>0.18374188525883148</v>
      </c>
      <c r="GN28" s="601">
        <f t="shared" si="131"/>
        <v>0.60022299213736274</v>
      </c>
      <c r="GO28" s="601">
        <f t="shared" si="131"/>
        <v>0.89922162574325504</v>
      </c>
      <c r="GP28" s="605">
        <f t="shared" si="131"/>
        <v>5.9197388846179164</v>
      </c>
      <c r="GQ28" s="587">
        <f>SUM(GQ4:GQ27)</f>
        <v>2182522571</v>
      </c>
      <c r="GR28" s="607"/>
      <c r="GU28" s="562">
        <v>25</v>
      </c>
      <c r="GV28" s="604"/>
      <c r="GW28" s="598" t="s">
        <v>71</v>
      </c>
      <c r="GX28" s="586"/>
      <c r="GY28" s="564">
        <f>SUM(GY4:GY27)</f>
        <v>129199637.30104965</v>
      </c>
      <c r="GZ28" s="608">
        <f>SUM(GZ4:GZ27)</f>
        <v>2182522571</v>
      </c>
      <c r="HA28" s="601">
        <f>IF(GZ28&lt;&gt;0,GY28/GZ28*100,0)</f>
        <v>5.9197388846179155</v>
      </c>
      <c r="HB28" s="564">
        <f>SUM(HB4:HB27)</f>
        <v>129199641.54427999</v>
      </c>
      <c r="HC28" s="569">
        <f>SUM(HC4:HC27)</f>
        <v>4.2432303307389247</v>
      </c>
      <c r="HD28" s="609"/>
      <c r="HG28" s="609"/>
      <c r="HH28" s="609"/>
      <c r="HI28" s="609"/>
      <c r="HJ28" s="609"/>
      <c r="HK28" s="609"/>
      <c r="HL28" s="609"/>
      <c r="HM28" s="609"/>
      <c r="HP28" s="585">
        <v>25</v>
      </c>
      <c r="HQ28" s="610" t="s">
        <v>71</v>
      </c>
      <c r="HR28" s="566"/>
      <c r="HS28" s="611">
        <f>SUM(HS4:HS27)</f>
        <v>2182522571</v>
      </c>
      <c r="HT28" s="612">
        <f>SUMPRODUCT(HS4:HS27,HT4:HT27)/SUM(HS4:HS27)</f>
        <v>5.9197390790365381</v>
      </c>
      <c r="HU28" s="612">
        <f>SUMPRODUCT(HS4:HS27,HU4:HU27)/SUM(HS4:HS27)</f>
        <v>5.1707513347028859</v>
      </c>
      <c r="HV28" s="614">
        <f>IF(HU28&lt;&gt;0,HT28/HU28-1,"")</f>
        <v>0.14485085355138039</v>
      </c>
      <c r="HW28" s="613">
        <f t="shared" si="95"/>
        <v>0.74898774433365212</v>
      </c>
      <c r="HX28" s="615"/>
      <c r="HY28" s="15"/>
      <c r="HZ28" s="584"/>
      <c r="IA28" s="15"/>
      <c r="IL28" s="15"/>
      <c r="IM28" s="584"/>
      <c r="IN28" s="15"/>
      <c r="IO28" s="616">
        <v>25</v>
      </c>
      <c r="IP28" s="610" t="s">
        <v>71</v>
      </c>
      <c r="IQ28" s="566"/>
      <c r="IR28" s="617">
        <f>SUM(IR4:IR27)</f>
        <v>129199637.30104965</v>
      </c>
      <c r="IS28" s="611">
        <f>SUM(IS4:IS27)</f>
        <v>2182522571</v>
      </c>
      <c r="IT28" s="618">
        <f>SUMPRODUCT(IS4:IS27,IT4:IT27)/SUM(IS4:IS27)</f>
        <v>5.9197390790365381</v>
      </c>
      <c r="IU28" s="611">
        <f>SUM(IU4:IU27)</f>
        <v>316639920</v>
      </c>
      <c r="IV28" s="611">
        <f>SUM(IV4:IV27)</f>
        <v>1865882651</v>
      </c>
      <c r="IW28" s="617">
        <f>SUM(IW4:IW27)</f>
        <v>4749598.8000000007</v>
      </c>
      <c r="IX28" s="617">
        <f>SUM(IX4:IX27)</f>
        <v>124450038.50104965</v>
      </c>
      <c r="IY28" s="605">
        <f>IX28/IS28*100</f>
        <v>5.7021191970550138</v>
      </c>
      <c r="IZ28" s="605">
        <f>SUMPRODUCT(IU4:IU27,IZ4:IZ27)/SUM(IU4:IU27)</f>
        <v>7.1754621645967971</v>
      </c>
      <c r="JA28" s="617">
        <f>SUM(JA4:JA27)</f>
        <v>129199637.17308708</v>
      </c>
      <c r="JB28" s="619"/>
      <c r="JF28" s="585">
        <v>25</v>
      </c>
      <c r="JG28" s="610" t="s">
        <v>71</v>
      </c>
      <c r="JH28" s="566"/>
      <c r="JI28" s="611">
        <f>SUM(JI4:JI27)</f>
        <v>2182522571</v>
      </c>
      <c r="JJ28" s="612">
        <f>SUMPRODUCT($JI4:$JI27,JJ4:JJ27)/SUM($JI4:$JI27)</f>
        <v>5.7021191911919562</v>
      </c>
      <c r="JK28" s="612">
        <f>SUMPRODUCT($JI4:$JI27,JK4:JK27)/SUM($JI4:$JI27)</f>
        <v>4.9516911021702086</v>
      </c>
      <c r="JL28" s="614">
        <f>IF(JK28&lt;&gt;0,JJ28/JK28-1,"")</f>
        <v>0.15154985913657915</v>
      </c>
      <c r="JM28" s="613">
        <f t="shared" si="107"/>
        <v>0.75042808902174762</v>
      </c>
      <c r="JN28" s="615"/>
      <c r="JO28" s="5"/>
      <c r="JS28" s="612">
        <v>5.7021191911919562</v>
      </c>
      <c r="JT28" s="612">
        <f t="shared" si="108"/>
        <v>0</v>
      </c>
      <c r="JU28" s="1011">
        <v>2182522571</v>
      </c>
      <c r="JV28" s="1011">
        <f>JI28-JU28</f>
        <v>0</v>
      </c>
      <c r="JW28" s="1069">
        <f t="shared" si="110"/>
        <v>0</v>
      </c>
      <c r="JX28" s="997">
        <v>124450038.37308708</v>
      </c>
      <c r="JY28" s="997">
        <f t="shared" si="111"/>
        <v>124450038.37308708</v>
      </c>
      <c r="JZ28" s="516"/>
      <c r="KA28" s="516"/>
      <c r="KB28" s="516"/>
      <c r="KC28" s="516"/>
      <c r="KE28" s="516"/>
      <c r="KF28" s="516"/>
    </row>
    <row r="29" spans="2:292" ht="16.5" x14ac:dyDescent="0.3">
      <c r="F29" s="530"/>
      <c r="G29" s="620"/>
      <c r="H29" s="530"/>
      <c r="L29" s="236"/>
      <c r="N29" s="236"/>
      <c r="O29" s="236"/>
      <c r="R29" s="530"/>
      <c r="S29" s="620"/>
      <c r="T29" s="530"/>
      <c r="U29" s="514"/>
      <c r="V29" s="676"/>
      <c r="Z29" s="530"/>
      <c r="AA29" s="620"/>
      <c r="AB29" s="530"/>
      <c r="AG29" s="530"/>
      <c r="AH29" s="620"/>
      <c r="AI29" s="530"/>
      <c r="AJ29" s="530"/>
      <c r="AK29" s="530"/>
      <c r="AL29" s="530"/>
      <c r="AP29" s="621"/>
      <c r="AQ29" s="621"/>
      <c r="AR29" s="530"/>
      <c r="AS29" s="530"/>
      <c r="AT29" s="530"/>
      <c r="AU29" s="530"/>
      <c r="AV29" s="622"/>
      <c r="AW29" s="530"/>
      <c r="AX29" s="530"/>
      <c r="AY29" s="530"/>
      <c r="AZ29" s="530"/>
      <c r="BA29" s="530"/>
      <c r="BB29" s="620"/>
      <c r="BC29" s="530"/>
      <c r="BD29" s="530"/>
      <c r="BE29" s="530"/>
      <c r="BF29" s="530"/>
      <c r="BG29" s="530"/>
      <c r="BH29" s="530"/>
      <c r="BI29" s="620"/>
      <c r="BJ29" s="530"/>
      <c r="BT29" s="530"/>
      <c r="BU29" s="620"/>
      <c r="BV29" s="623"/>
      <c r="BW29" s="190"/>
      <c r="BX29" s="190"/>
      <c r="BY29" s="190"/>
      <c r="BZ29" s="190"/>
      <c r="CA29" s="190"/>
      <c r="CB29" s="190"/>
      <c r="CC29" s="190"/>
      <c r="CD29" s="190"/>
      <c r="CE29" s="530"/>
      <c r="CF29" s="620"/>
      <c r="CG29" s="15"/>
      <c r="CH29" s="5"/>
      <c r="CL29" s="16"/>
      <c r="CN29" s="16"/>
      <c r="CO29" s="16"/>
      <c r="CR29" s="15"/>
      <c r="CS29" s="620"/>
      <c r="CT29" s="530"/>
      <c r="DD29" s="623"/>
      <c r="DE29" s="620"/>
      <c r="DF29" s="530"/>
      <c r="DG29" s="530"/>
      <c r="DH29" s="530"/>
      <c r="DI29" s="530"/>
      <c r="DJ29" s="530"/>
      <c r="DK29" s="530"/>
      <c r="DL29" s="530"/>
      <c r="DM29" s="530"/>
      <c r="DN29" s="530"/>
      <c r="DO29" s="530"/>
      <c r="DP29" s="530"/>
      <c r="DQ29" s="530"/>
      <c r="DR29" s="530"/>
      <c r="DS29" s="530"/>
      <c r="DT29" s="620"/>
      <c r="DU29" s="530"/>
      <c r="DV29" s="514"/>
      <c r="DW29" s="530"/>
      <c r="DX29" s="530"/>
      <c r="DY29" s="530"/>
      <c r="DZ29" s="530"/>
      <c r="EA29" s="530"/>
      <c r="EB29" s="530"/>
      <c r="EC29" s="620"/>
      <c r="ED29" s="530"/>
      <c r="EJ29" s="530"/>
      <c r="EK29" s="620"/>
      <c r="EL29" s="530"/>
      <c r="EM29" s="530"/>
      <c r="EN29" s="530"/>
      <c r="EO29" s="530"/>
      <c r="EP29" s="530"/>
      <c r="EQ29" s="530"/>
      <c r="ER29" s="530"/>
      <c r="ES29" s="530"/>
      <c r="ET29" s="530"/>
      <c r="EU29" s="624"/>
      <c r="EV29" s="530"/>
      <c r="EW29" s="530"/>
      <c r="EX29" s="530"/>
      <c r="EY29" s="530"/>
      <c r="EZ29" s="620"/>
      <c r="FA29" s="530"/>
      <c r="FE29" s="530"/>
      <c r="FF29" s="620"/>
      <c r="FG29" s="530"/>
      <c r="FH29" s="530"/>
      <c r="FI29" s="530"/>
      <c r="FJ29" s="530"/>
      <c r="FK29" s="530"/>
      <c r="FL29" s="530"/>
      <c r="FM29" s="530"/>
      <c r="FN29" s="530"/>
      <c r="GA29" s="355">
        <f>GA28-'Actuals Phase I Schedules'!MC25</f>
        <v>36577.708153024316</v>
      </c>
      <c r="GF29" s="530"/>
      <c r="GG29" s="530"/>
      <c r="GH29" s="530"/>
      <c r="GI29" s="530"/>
      <c r="GJ29" s="530"/>
      <c r="GK29" s="530"/>
      <c r="GL29" s="530"/>
      <c r="GM29" s="530"/>
      <c r="GN29" s="530"/>
      <c r="GO29" s="530"/>
      <c r="GP29" s="530"/>
      <c r="GQ29" s="530"/>
      <c r="GR29" s="530"/>
      <c r="HD29" s="204"/>
      <c r="HG29" s="549"/>
      <c r="HH29" s="549"/>
      <c r="HI29" s="549"/>
      <c r="HJ29" s="549"/>
      <c r="HK29" s="549"/>
      <c r="HL29" s="204"/>
      <c r="HM29" s="204"/>
      <c r="HY29" s="530"/>
      <c r="HZ29" s="620"/>
      <c r="IA29" s="530"/>
      <c r="IO29" s="514"/>
      <c r="IP29" s="530"/>
      <c r="JY29" s="997"/>
      <c r="JZ29" s="516"/>
      <c r="KA29" s="516"/>
      <c r="KB29" s="516"/>
      <c r="KC29" s="516"/>
    </row>
    <row r="30" spans="2:292" ht="16.5" x14ac:dyDescent="0.3">
      <c r="F30" s="530"/>
      <c r="G30" s="620"/>
      <c r="H30" s="530"/>
      <c r="R30" s="530"/>
      <c r="S30" s="620"/>
      <c r="T30" s="530"/>
      <c r="U30" s="514"/>
      <c r="V30" s="676"/>
      <c r="W30" s="948" t="s">
        <v>414</v>
      </c>
      <c r="X30" s="739"/>
      <c r="Y30" s="739"/>
      <c r="Z30" s="530"/>
      <c r="AA30" s="620"/>
      <c r="AB30" s="530"/>
      <c r="AG30" s="530"/>
      <c r="AH30" s="620"/>
      <c r="AI30" s="530"/>
      <c r="AJ30" s="530"/>
      <c r="AK30" s="530"/>
      <c r="AL30" s="530"/>
      <c r="AP30" s="530"/>
      <c r="AQ30" s="705" t="s">
        <v>414</v>
      </c>
      <c r="AR30" s="705"/>
      <c r="AS30" s="705">
        <v>3</v>
      </c>
      <c r="AT30" s="705">
        <v>3</v>
      </c>
      <c r="AU30" s="705"/>
      <c r="AV30" s="705"/>
      <c r="AW30" s="705"/>
      <c r="AX30" s="705"/>
      <c r="AY30" s="625"/>
      <c r="AZ30" s="625">
        <v>4</v>
      </c>
      <c r="BA30" s="530"/>
      <c r="BB30" s="620"/>
      <c r="BC30" s="530"/>
      <c r="BD30" s="530"/>
      <c r="BE30" s="530"/>
      <c r="BF30" s="530"/>
      <c r="BG30" s="530"/>
      <c r="BH30" s="530"/>
      <c r="BI30" s="620"/>
      <c r="BJ30" s="530"/>
      <c r="BM30" s="714" t="s">
        <v>416</v>
      </c>
      <c r="BN30" s="714"/>
      <c r="BO30" s="714"/>
      <c r="BP30" s="714"/>
      <c r="BQ30" s="714"/>
      <c r="BR30" s="714"/>
      <c r="BS30" s="714"/>
      <c r="BT30" s="530"/>
      <c r="BU30" s="620"/>
      <c r="BV30" s="623"/>
      <c r="BW30" s="190"/>
      <c r="BX30" s="190"/>
      <c r="BY30" s="190"/>
      <c r="BZ30" s="190"/>
      <c r="CA30" s="190"/>
      <c r="CB30" s="190"/>
      <c r="CC30" s="190"/>
      <c r="CD30" s="190"/>
      <c r="CE30" s="530"/>
      <c r="CF30" s="620"/>
      <c r="CG30" s="530"/>
      <c r="CH30" s="660"/>
      <c r="CI30" s="681"/>
      <c r="CJ30" s="729" t="s">
        <v>417</v>
      </c>
      <c r="CK30" s="660"/>
      <c r="CL30" s="730"/>
      <c r="CM30" s="660"/>
      <c r="CN30" s="730"/>
      <c r="CO30" s="730"/>
      <c r="CP30" s="660"/>
      <c r="CQ30" s="660"/>
      <c r="CR30" s="530"/>
      <c r="CS30" s="620"/>
      <c r="CT30" s="530"/>
      <c r="DD30" s="623"/>
      <c r="DE30" s="620"/>
      <c r="DF30" s="530"/>
      <c r="DG30" s="530"/>
      <c r="DH30" s="530"/>
      <c r="DI30" s="729" t="s">
        <v>418</v>
      </c>
      <c r="DJ30" s="741"/>
      <c r="DK30" s="741"/>
      <c r="DL30" s="741"/>
      <c r="DM30" s="741"/>
      <c r="DN30" s="741"/>
      <c r="DO30" s="741"/>
      <c r="DP30" s="741"/>
      <c r="DQ30" s="741"/>
      <c r="DR30" s="741"/>
      <c r="DT30" s="620"/>
      <c r="DU30" s="530"/>
      <c r="DV30" s="530"/>
      <c r="DW30" s="530"/>
      <c r="DX30" s="1068" t="s">
        <v>418</v>
      </c>
      <c r="DY30" s="1068"/>
      <c r="DZ30" s="1068"/>
      <c r="EA30" s="1068"/>
      <c r="EB30" s="660"/>
      <c r="EC30" s="620"/>
      <c r="ED30" s="530"/>
      <c r="EJ30" s="530"/>
      <c r="EK30" s="620"/>
      <c r="EL30" s="530"/>
      <c r="EM30" s="676"/>
      <c r="EN30" s="676"/>
      <c r="EO30" s="729" t="s">
        <v>419</v>
      </c>
      <c r="EP30" s="729"/>
      <c r="EQ30" s="729"/>
      <c r="ER30" s="729"/>
      <c r="ES30" s="729"/>
      <c r="ET30" s="729"/>
      <c r="EU30" s="729"/>
      <c r="EV30" s="729"/>
      <c r="EW30" s="729"/>
      <c r="EX30" s="729"/>
      <c r="EY30" s="530"/>
      <c r="EZ30" s="620"/>
      <c r="FA30" s="530"/>
      <c r="FE30" s="530"/>
      <c r="FF30" s="620"/>
      <c r="FG30" s="530"/>
      <c r="FH30" s="625"/>
      <c r="FI30" s="626"/>
      <c r="FJ30" s="626"/>
      <c r="FK30" s="626"/>
      <c r="FL30" s="626"/>
      <c r="FM30" s="626">
        <v>4</v>
      </c>
      <c r="FN30" s="530"/>
      <c r="GF30" s="530"/>
      <c r="GG30" s="530"/>
      <c r="GH30" s="530"/>
      <c r="GI30" s="552"/>
      <c r="GJ30" s="552"/>
      <c r="GK30" s="552"/>
      <c r="GL30" s="552"/>
      <c r="GM30" s="552"/>
      <c r="GN30" s="552"/>
      <c r="GO30" s="552"/>
      <c r="GP30" s="530"/>
      <c r="GQ30" s="622"/>
      <c r="GR30" s="530"/>
      <c r="HD30" s="204"/>
      <c r="HG30" s="549"/>
      <c r="HH30" s="549"/>
      <c r="HI30" s="549"/>
      <c r="HJ30" s="549"/>
      <c r="HK30" s="549"/>
      <c r="HL30" s="204"/>
      <c r="HM30" s="204"/>
      <c r="HP30" s="706" t="s">
        <v>420</v>
      </c>
      <c r="HQ30" s="628"/>
      <c r="HR30" s="629"/>
      <c r="HS30" s="630">
        <v>3</v>
      </c>
      <c r="HT30" s="630"/>
      <c r="HU30" s="630">
        <v>11</v>
      </c>
      <c r="HV30" s="630"/>
      <c r="HW30" s="630"/>
      <c r="HX30" s="630">
        <v>6</v>
      </c>
      <c r="HY30" s="530"/>
      <c r="HZ30" s="620"/>
      <c r="IA30" s="530"/>
      <c r="IO30" s="530"/>
      <c r="IP30" s="530"/>
      <c r="JF30" s="706" t="s">
        <v>420</v>
      </c>
      <c r="JG30" s="780"/>
      <c r="JH30" s="781"/>
      <c r="JI30" s="782">
        <v>3</v>
      </c>
      <c r="JJ30" s="782"/>
      <c r="JK30" s="782">
        <v>5</v>
      </c>
      <c r="JL30" s="782"/>
      <c r="JM30" s="782"/>
      <c r="JN30" s="782">
        <v>6</v>
      </c>
      <c r="JO30" s="660"/>
      <c r="JZ30" s="516"/>
      <c r="KA30" s="516"/>
      <c r="KB30" s="516"/>
      <c r="KC30" s="516"/>
    </row>
    <row r="31" spans="2:292" ht="16.5" x14ac:dyDescent="0.3">
      <c r="G31" s="620"/>
      <c r="H31" s="530"/>
      <c r="S31" s="620"/>
      <c r="T31" s="530"/>
      <c r="W31" s="948" t="s">
        <v>415</v>
      </c>
      <c r="X31" s="739">
        <v>2</v>
      </c>
      <c r="Y31" s="739">
        <f>X31+1</f>
        <v>3</v>
      </c>
      <c r="AA31" s="620"/>
      <c r="AB31" s="530"/>
      <c r="AH31" s="620"/>
      <c r="AI31" s="530"/>
      <c r="AJ31" s="530"/>
      <c r="AK31" s="530"/>
      <c r="AL31" s="530"/>
      <c r="AO31" s="631"/>
      <c r="AQ31" s="706" t="s">
        <v>421</v>
      </c>
      <c r="AR31" s="706">
        <v>2</v>
      </c>
      <c r="AS31" s="706">
        <f>+AR31+1</f>
        <v>3</v>
      </c>
      <c r="AT31" s="706">
        <f t="shared" ref="AT31:AX31" si="132">+AS31+1</f>
        <v>4</v>
      </c>
      <c r="AU31" s="706">
        <f t="shared" si="132"/>
        <v>5</v>
      </c>
      <c r="AV31" s="706">
        <f t="shared" si="132"/>
        <v>6</v>
      </c>
      <c r="AW31" s="706">
        <f t="shared" si="132"/>
        <v>7</v>
      </c>
      <c r="AX31" s="706">
        <f t="shared" si="132"/>
        <v>8</v>
      </c>
      <c r="AY31" s="627"/>
      <c r="AZ31" s="627">
        <f>+AX31+1</f>
        <v>9</v>
      </c>
      <c r="BB31" s="620"/>
      <c r="BC31" s="530"/>
      <c r="BD31" s="530"/>
      <c r="BE31" s="530"/>
      <c r="BF31" s="530"/>
      <c r="BG31" s="530"/>
      <c r="BI31" s="620"/>
      <c r="BJ31" s="530"/>
      <c r="BM31" s="660"/>
      <c r="BN31" s="660"/>
      <c r="BO31" s="660"/>
      <c r="BP31" s="660"/>
      <c r="BQ31" s="660"/>
      <c r="BR31" s="660"/>
      <c r="BS31" s="660"/>
      <c r="BU31" s="620"/>
      <c r="BV31" s="623"/>
      <c r="BW31" s="190"/>
      <c r="BX31" s="190"/>
      <c r="BY31" s="190"/>
      <c r="BZ31" s="190"/>
      <c r="CA31" s="190"/>
      <c r="CB31" s="190"/>
      <c r="CC31" s="190"/>
      <c r="CD31" s="190"/>
      <c r="CF31" s="620"/>
      <c r="CG31" s="530"/>
      <c r="CH31" s="660"/>
      <c r="CI31" s="681"/>
      <c r="CJ31" s="660"/>
      <c r="CK31" s="660"/>
      <c r="CL31" s="660"/>
      <c r="CM31" s="660"/>
      <c r="CN31" s="660"/>
      <c r="CO31" s="660"/>
      <c r="CP31" s="660"/>
      <c r="CQ31" s="660"/>
      <c r="CR31" s="530"/>
      <c r="CS31" s="620"/>
      <c r="CT31" s="530"/>
      <c r="DD31" s="190"/>
      <c r="DE31" s="620"/>
      <c r="DF31" s="530"/>
      <c r="DI31" s="660"/>
      <c r="DJ31" s="660"/>
      <c r="DK31" s="660"/>
      <c r="DL31" s="660"/>
      <c r="DM31" s="660"/>
      <c r="DN31" s="660"/>
      <c r="DO31" s="660"/>
      <c r="DP31" s="660"/>
      <c r="DQ31" s="660"/>
      <c r="DR31" s="660"/>
      <c r="DT31" s="620"/>
      <c r="DU31" s="530"/>
      <c r="DX31" s="1068"/>
      <c r="DY31" s="1068"/>
      <c r="DZ31" s="1068"/>
      <c r="EA31" s="1068"/>
      <c r="EB31" s="660"/>
      <c r="EC31" s="620"/>
      <c r="ED31" s="530"/>
      <c r="EK31" s="620"/>
      <c r="EL31" s="530"/>
      <c r="EM31" s="676"/>
      <c r="EN31" s="676"/>
      <c r="EO31" s="676"/>
      <c r="EP31" s="676"/>
      <c r="EQ31" s="676"/>
      <c r="ER31" s="676"/>
      <c r="ES31" s="676"/>
      <c r="ET31" s="676"/>
      <c r="EU31" s="742"/>
      <c r="EV31" s="676"/>
      <c r="EW31" s="676"/>
      <c r="EX31" s="676"/>
      <c r="EZ31" s="620"/>
      <c r="FA31" s="530"/>
      <c r="FF31" s="620"/>
      <c r="FG31" s="530"/>
      <c r="FH31" s="705" t="s">
        <v>414</v>
      </c>
      <c r="FI31" s="626"/>
      <c r="FJ31" s="626"/>
      <c r="FK31" s="626"/>
      <c r="FL31" s="626">
        <f>Y31+1</f>
        <v>4</v>
      </c>
      <c r="FM31" s="626">
        <f t="shared" ref="FM31" si="133">FL31+1</f>
        <v>5</v>
      </c>
      <c r="GF31" s="530"/>
      <c r="GG31" s="530"/>
      <c r="GH31" s="655" t="s">
        <v>414</v>
      </c>
      <c r="GI31" s="655">
        <v>10</v>
      </c>
      <c r="GJ31" s="655">
        <v>8</v>
      </c>
      <c r="GK31" s="655">
        <v>9</v>
      </c>
      <c r="GL31" s="655">
        <v>11</v>
      </c>
      <c r="GM31" s="655">
        <v>5</v>
      </c>
      <c r="GN31" s="655">
        <v>11</v>
      </c>
      <c r="GO31" s="655">
        <v>5</v>
      </c>
      <c r="GP31" s="655">
        <v>11</v>
      </c>
      <c r="GQ31" s="655">
        <v>3</v>
      </c>
      <c r="GZ31" s="949" t="s">
        <v>422</v>
      </c>
      <c r="HA31" s="950">
        <f>31.49*100</f>
        <v>3149</v>
      </c>
      <c r="HD31" s="565"/>
      <c r="HG31" s="565"/>
      <c r="HH31" s="565"/>
      <c r="HI31" s="565"/>
      <c r="HJ31" s="565"/>
      <c r="HK31" s="565"/>
      <c r="HL31" s="565"/>
      <c r="HM31" s="565"/>
      <c r="HT31" s="241"/>
      <c r="HU31" s="241"/>
      <c r="HZ31" s="620"/>
      <c r="IA31" s="530"/>
      <c r="IP31" s="530"/>
      <c r="JF31" s="660"/>
      <c r="JG31" s="660"/>
      <c r="JH31" s="660"/>
      <c r="JI31" s="660"/>
      <c r="JJ31" s="660"/>
      <c r="JK31" s="660"/>
      <c r="JL31" s="660"/>
      <c r="JM31" s="660"/>
      <c r="JN31" s="660"/>
      <c r="JO31" s="660"/>
    </row>
    <row r="32" spans="2:292" ht="16.5" x14ac:dyDescent="0.3">
      <c r="G32" s="620"/>
      <c r="H32" s="530"/>
      <c r="S32" s="620"/>
      <c r="T32" s="530"/>
      <c r="AA32" s="620"/>
      <c r="AB32" s="530"/>
      <c r="AH32" s="620"/>
      <c r="AI32" s="530"/>
      <c r="AJ32" s="530"/>
      <c r="AK32" s="530"/>
      <c r="AL32" s="530"/>
      <c r="BB32" s="620"/>
      <c r="BC32" s="530"/>
      <c r="BD32" s="530"/>
      <c r="BE32" s="530"/>
      <c r="BF32" s="530"/>
      <c r="BG32" s="530"/>
      <c r="BI32" s="620"/>
      <c r="BJ32" s="530"/>
      <c r="BM32" s="660"/>
      <c r="BN32" s="660"/>
      <c r="BO32" s="660"/>
      <c r="BP32" s="660"/>
      <c r="BQ32" s="660"/>
      <c r="BR32" s="660"/>
      <c r="BS32" s="660"/>
      <c r="BU32" s="620"/>
      <c r="BV32" s="623"/>
      <c r="BW32" s="190"/>
      <c r="BX32" s="190"/>
      <c r="BY32" s="190"/>
      <c r="BZ32" s="190"/>
      <c r="CA32" s="190"/>
      <c r="CB32" s="190"/>
      <c r="CC32" s="190"/>
      <c r="CD32" s="190"/>
      <c r="CF32" s="620"/>
      <c r="CG32" s="530"/>
      <c r="CH32" s="655"/>
      <c r="CI32" s="678" t="s">
        <v>414</v>
      </c>
      <c r="CJ32" s="655"/>
      <c r="CK32" s="655">
        <v>4</v>
      </c>
      <c r="CL32" s="655"/>
      <c r="CM32" s="655">
        <v>7</v>
      </c>
      <c r="CN32" s="655"/>
      <c r="CO32" s="655"/>
      <c r="CP32" s="655"/>
      <c r="CQ32" s="655">
        <v>4</v>
      </c>
      <c r="CS32" s="620"/>
      <c r="CT32" s="530"/>
      <c r="DD32" s="190"/>
      <c r="DE32" s="620"/>
      <c r="DF32" s="530"/>
      <c r="DI32" s="660"/>
      <c r="DJ32" s="660"/>
      <c r="DK32" s="660"/>
      <c r="DL32" s="660"/>
      <c r="DM32" s="660"/>
      <c r="DN32" s="660"/>
      <c r="DO32" s="660"/>
      <c r="DP32" s="660"/>
      <c r="DQ32" s="660"/>
      <c r="DR32" s="660"/>
      <c r="DT32" s="620"/>
      <c r="DU32" s="530"/>
      <c r="DX32" s="660"/>
      <c r="DY32" s="660"/>
      <c r="DZ32" s="660"/>
      <c r="EA32" s="660"/>
      <c r="EB32" s="660"/>
      <c r="EC32" s="620"/>
      <c r="ED32" s="530"/>
      <c r="EK32" s="620"/>
      <c r="EL32" s="530"/>
      <c r="EM32" s="676"/>
      <c r="EN32" s="676"/>
      <c r="EO32" s="676"/>
      <c r="EP32" s="676"/>
      <c r="EQ32" s="676"/>
      <c r="ER32" s="676"/>
      <c r="ES32" s="676"/>
      <c r="ET32" s="676"/>
      <c r="EU32" s="742"/>
      <c r="EV32" s="676"/>
      <c r="EW32" s="676"/>
      <c r="EX32" s="676"/>
      <c r="EZ32" s="620"/>
      <c r="FA32" s="530"/>
      <c r="FF32" s="620"/>
      <c r="FG32" s="530"/>
      <c r="GH32" s="655" t="s">
        <v>421</v>
      </c>
      <c r="GI32" s="655">
        <v>3</v>
      </c>
      <c r="GJ32" s="655">
        <f t="shared" ref="GJ32:GQ32" si="134">+GI32+1</f>
        <v>4</v>
      </c>
      <c r="GK32" s="655">
        <f t="shared" si="134"/>
        <v>5</v>
      </c>
      <c r="GL32" s="655">
        <f t="shared" si="134"/>
        <v>6</v>
      </c>
      <c r="GM32" s="655">
        <f t="shared" si="134"/>
        <v>7</v>
      </c>
      <c r="GN32" s="655">
        <f t="shared" si="134"/>
        <v>8</v>
      </c>
      <c r="GO32" s="655">
        <f t="shared" si="134"/>
        <v>9</v>
      </c>
      <c r="GP32" s="655">
        <f t="shared" si="134"/>
        <v>10</v>
      </c>
      <c r="GQ32" s="655">
        <f t="shared" si="134"/>
        <v>11</v>
      </c>
      <c r="HT32" s="235"/>
      <c r="HU32" s="235"/>
      <c r="HZ32" s="620"/>
      <c r="IA32" s="530"/>
      <c r="IP32" s="530"/>
      <c r="JF32" s="660"/>
      <c r="JG32" s="660"/>
      <c r="JH32" s="660"/>
      <c r="JI32" s="660"/>
      <c r="JJ32" s="660"/>
      <c r="JK32" s="660"/>
      <c r="JL32" s="660"/>
      <c r="JM32" s="660"/>
      <c r="JN32" s="660"/>
      <c r="JO32" s="660"/>
    </row>
    <row r="33" spans="7:275" ht="16.5" x14ac:dyDescent="0.3">
      <c r="G33" s="620"/>
      <c r="H33" s="530"/>
      <c r="S33" s="620"/>
      <c r="T33" s="530"/>
      <c r="AA33" s="620"/>
      <c r="AB33" s="530"/>
      <c r="AH33" s="620"/>
      <c r="AI33" s="530"/>
      <c r="AJ33" s="530"/>
      <c r="AK33" s="530"/>
      <c r="AL33" s="530"/>
      <c r="BB33" s="620"/>
      <c r="BC33" s="530"/>
      <c r="BD33" s="530"/>
      <c r="BE33" s="530"/>
      <c r="BF33" s="530"/>
      <c r="BG33" s="530"/>
      <c r="BI33" s="620"/>
      <c r="BJ33" s="530"/>
      <c r="BM33" s="705" t="s">
        <v>414</v>
      </c>
      <c r="BN33" s="705">
        <v>9</v>
      </c>
      <c r="BO33" s="705"/>
      <c r="BP33" s="705">
        <v>4</v>
      </c>
      <c r="BQ33" s="705"/>
      <c r="BR33" s="705"/>
      <c r="BS33" s="705">
        <v>4</v>
      </c>
      <c r="BU33" s="620"/>
      <c r="BV33" s="623"/>
      <c r="BW33" s="190"/>
      <c r="BX33" s="190"/>
      <c r="BY33" s="190"/>
      <c r="BZ33" s="190"/>
      <c r="CA33" s="190"/>
      <c r="CB33" s="190"/>
      <c r="CC33" s="190"/>
      <c r="CD33" s="190"/>
      <c r="CF33" s="620"/>
      <c r="CG33" s="530"/>
      <c r="CH33" s="660"/>
      <c r="CI33" s="681"/>
      <c r="CJ33" s="660"/>
      <c r="CK33" s="660"/>
      <c r="CL33" s="660"/>
      <c r="CM33" s="660"/>
      <c r="CN33" s="660"/>
      <c r="CO33" s="660"/>
      <c r="CP33" s="660"/>
      <c r="CQ33" s="660"/>
      <c r="CS33" s="620"/>
      <c r="CT33" s="530"/>
      <c r="DD33" s="190"/>
      <c r="DE33" s="620"/>
      <c r="DF33" s="530"/>
      <c r="DI33" s="655" t="s">
        <v>414</v>
      </c>
      <c r="DJ33" s="655">
        <v>8</v>
      </c>
      <c r="DK33" s="655"/>
      <c r="DL33" s="655">
        <v>7</v>
      </c>
      <c r="DM33" s="655"/>
      <c r="DN33" s="655">
        <v>4</v>
      </c>
      <c r="DO33" s="655"/>
      <c r="DP33" s="655"/>
      <c r="DQ33" s="655"/>
      <c r="DR33" s="655">
        <v>4</v>
      </c>
      <c r="DT33" s="620"/>
      <c r="DU33" s="530"/>
      <c r="DX33" s="655" t="s">
        <v>414</v>
      </c>
      <c r="DY33" s="655">
        <v>7</v>
      </c>
      <c r="DZ33" s="655"/>
      <c r="EA33" s="655">
        <v>4</v>
      </c>
      <c r="EB33" s="660"/>
      <c r="EC33" s="620"/>
      <c r="ED33" s="530"/>
      <c r="EK33" s="620"/>
      <c r="EL33" s="530"/>
      <c r="EM33" s="705"/>
      <c r="EN33" s="705"/>
      <c r="EO33" s="705" t="s">
        <v>414</v>
      </c>
      <c r="EP33" s="743">
        <v>4</v>
      </c>
      <c r="EQ33" s="743"/>
      <c r="ER33" s="743">
        <v>8</v>
      </c>
      <c r="ES33" s="743"/>
      <c r="ET33" s="743">
        <v>4</v>
      </c>
      <c r="EU33" s="744"/>
      <c r="EV33" s="743"/>
      <c r="EW33" s="743"/>
      <c r="EX33" s="743">
        <v>4</v>
      </c>
      <c r="EZ33" s="620"/>
      <c r="FA33" s="530"/>
      <c r="FF33" s="620"/>
      <c r="FG33" s="530"/>
      <c r="FS33" s="948" t="s">
        <v>414</v>
      </c>
      <c r="FT33" s="655">
        <v>8</v>
      </c>
      <c r="FU33" s="655">
        <v>7</v>
      </c>
      <c r="FV33" s="655">
        <v>7</v>
      </c>
      <c r="FW33" s="655">
        <v>9</v>
      </c>
      <c r="FX33" s="655">
        <v>4</v>
      </c>
      <c r="FY33" s="655"/>
      <c r="FZ33" s="655">
        <v>4</v>
      </c>
      <c r="GA33" s="655"/>
      <c r="GB33" s="655">
        <v>4</v>
      </c>
      <c r="HZ33" s="620"/>
      <c r="IA33" s="530"/>
      <c r="IP33" s="530"/>
      <c r="JF33" s="660"/>
      <c r="JG33" s="660"/>
      <c r="JH33" s="660"/>
      <c r="JI33" s="660"/>
      <c r="JJ33" s="660"/>
      <c r="JK33" s="660"/>
      <c r="JL33" s="660"/>
      <c r="JM33" s="660"/>
      <c r="JN33" s="660"/>
      <c r="JO33" s="660"/>
    </row>
    <row r="34" spans="7:275" ht="16.5" x14ac:dyDescent="0.3">
      <c r="G34" s="620"/>
      <c r="H34" s="530"/>
      <c r="K34" s="627" t="s">
        <v>414</v>
      </c>
      <c r="L34" s="630">
        <v>3</v>
      </c>
      <c r="M34" s="630"/>
      <c r="N34" s="630"/>
      <c r="O34" s="630"/>
      <c r="P34" s="630"/>
      <c r="Q34" s="630">
        <v>4</v>
      </c>
      <c r="S34" s="620"/>
      <c r="T34" s="530"/>
      <c r="AA34" s="620"/>
      <c r="AB34" s="530"/>
      <c r="AH34" s="620"/>
      <c r="AI34" s="530"/>
      <c r="AJ34" s="530"/>
      <c r="AK34" s="530"/>
      <c r="AL34" s="530"/>
      <c r="BB34" s="620"/>
      <c r="BC34" s="530"/>
      <c r="BD34" s="530"/>
      <c r="BE34" s="530"/>
      <c r="BF34" s="530"/>
      <c r="BG34" s="530"/>
      <c r="BI34" s="620"/>
      <c r="BJ34" s="530"/>
      <c r="BM34" s="706" t="s">
        <v>421</v>
      </c>
      <c r="BN34" s="706"/>
      <c r="BO34" s="706"/>
      <c r="BP34" s="706"/>
      <c r="BQ34" s="706"/>
      <c r="BR34" s="705"/>
      <c r="BS34" s="705"/>
      <c r="BU34" s="620"/>
      <c r="BV34" s="623"/>
      <c r="BW34" s="190"/>
      <c r="BX34" s="190"/>
      <c r="BY34" s="190"/>
      <c r="BZ34" s="190"/>
      <c r="CA34" s="190"/>
      <c r="CB34" s="190"/>
      <c r="CC34" s="190"/>
      <c r="CD34" s="190"/>
      <c r="CF34" s="620"/>
      <c r="CG34" s="530"/>
      <c r="CS34" s="620"/>
      <c r="CT34" s="530"/>
      <c r="DD34" s="190"/>
      <c r="DE34" s="620"/>
      <c r="DF34" s="530"/>
      <c r="DI34" s="660"/>
      <c r="DJ34" s="660"/>
      <c r="DK34" s="660"/>
      <c r="DL34" s="660"/>
      <c r="DM34" s="660"/>
      <c r="DN34" s="660"/>
      <c r="DO34" s="660"/>
      <c r="DP34" s="660"/>
      <c r="DQ34" s="660"/>
      <c r="DR34" s="660"/>
      <c r="DT34" s="620"/>
      <c r="DU34" s="530"/>
      <c r="DX34" s="660"/>
      <c r="DY34" s="660"/>
      <c r="DZ34" s="660"/>
      <c r="EA34" s="660"/>
      <c r="EB34" s="660"/>
      <c r="EC34" s="620"/>
      <c r="ED34" s="530"/>
      <c r="EK34" s="620"/>
      <c r="EL34" s="530"/>
      <c r="EM34" s="660"/>
      <c r="EN34" s="660"/>
      <c r="EO34" s="660"/>
      <c r="EP34" s="660"/>
      <c r="EQ34" s="660"/>
      <c r="ER34" s="660"/>
      <c r="ES34" s="660"/>
      <c r="ET34" s="660"/>
      <c r="EU34" s="660"/>
      <c r="EV34" s="660"/>
      <c r="EW34" s="660"/>
      <c r="EX34" s="660"/>
      <c r="EZ34" s="620"/>
      <c r="FA34" s="530"/>
      <c r="FF34" s="620"/>
      <c r="FG34" s="530"/>
      <c r="FS34" s="655" t="s">
        <v>421</v>
      </c>
      <c r="FT34" s="655">
        <v>1</v>
      </c>
      <c r="FU34" s="655">
        <f t="shared" ref="FU34:GB34" si="135">+FT34+1</f>
        <v>2</v>
      </c>
      <c r="FV34" s="655">
        <f t="shared" si="135"/>
        <v>3</v>
      </c>
      <c r="FW34" s="655">
        <f t="shared" si="135"/>
        <v>4</v>
      </c>
      <c r="FX34" s="655">
        <f t="shared" si="135"/>
        <v>5</v>
      </c>
      <c r="FY34" s="655">
        <v>9</v>
      </c>
      <c r="FZ34" s="655">
        <f t="shared" si="135"/>
        <v>10</v>
      </c>
      <c r="GA34" s="655">
        <f t="shared" si="135"/>
        <v>11</v>
      </c>
      <c r="GB34" s="655">
        <f t="shared" si="135"/>
        <v>12</v>
      </c>
      <c r="GW34" s="780" t="s">
        <v>420</v>
      </c>
      <c r="GX34" s="782">
        <v>4</v>
      </c>
      <c r="GY34" s="782">
        <v>10</v>
      </c>
      <c r="GZ34" s="782">
        <v>11</v>
      </c>
      <c r="HA34" s="782"/>
      <c r="HB34" s="782"/>
      <c r="HC34" s="782"/>
      <c r="HD34" s="209"/>
      <c r="HG34" s="209"/>
      <c r="HH34" s="209"/>
      <c r="HI34" s="209"/>
      <c r="HJ34" s="209"/>
      <c r="HK34" s="209"/>
      <c r="HL34" s="209"/>
      <c r="HM34" s="209"/>
      <c r="HU34" s="465"/>
      <c r="HZ34" s="620"/>
      <c r="IA34" s="530"/>
      <c r="IP34" s="530"/>
      <c r="JF34" s="660"/>
      <c r="JG34" s="660"/>
      <c r="JH34" s="660"/>
      <c r="JI34" s="660"/>
      <c r="JJ34" s="660"/>
      <c r="JK34" s="660"/>
      <c r="JL34" s="660"/>
      <c r="JM34" s="660"/>
      <c r="JN34" s="660"/>
      <c r="JO34" s="660"/>
    </row>
    <row r="35" spans="7:275" ht="16.5" x14ac:dyDescent="0.3">
      <c r="G35" s="620"/>
      <c r="H35" s="530"/>
      <c r="L35" s="209"/>
      <c r="M35" s="209"/>
      <c r="N35" s="209"/>
      <c r="O35" s="209"/>
      <c r="P35" s="209"/>
      <c r="Q35" s="209"/>
      <c r="S35" s="620"/>
      <c r="T35" s="530"/>
      <c r="AA35" s="620"/>
      <c r="AB35" s="530"/>
      <c r="AH35" s="620"/>
      <c r="AI35" s="530"/>
      <c r="AJ35" s="530"/>
      <c r="AK35" s="530"/>
      <c r="AL35" s="530"/>
      <c r="BB35" s="620"/>
      <c r="BC35" s="530"/>
      <c r="BI35" s="620"/>
      <c r="BJ35" s="530"/>
      <c r="BM35" s="660"/>
      <c r="BN35" s="660"/>
      <c r="BO35" s="660"/>
      <c r="BP35" s="660"/>
      <c r="BQ35" s="660"/>
      <c r="BR35" s="660"/>
      <c r="BS35" s="660"/>
      <c r="BU35" s="620"/>
      <c r="BV35" s="623"/>
      <c r="BW35" s="190"/>
      <c r="BX35" s="190"/>
      <c r="BY35" s="190"/>
      <c r="BZ35" s="190"/>
      <c r="CA35" s="190"/>
      <c r="CB35" s="190"/>
      <c r="CC35" s="190"/>
      <c r="CD35" s="190"/>
      <c r="CF35" s="620"/>
      <c r="CG35" s="530"/>
      <c r="CS35" s="620"/>
      <c r="CT35" s="530"/>
      <c r="DD35" s="190"/>
      <c r="DE35" s="620"/>
      <c r="DT35" s="620"/>
      <c r="EC35" s="620"/>
      <c r="ED35" s="530"/>
      <c r="EK35" s="620"/>
      <c r="EL35" s="530"/>
      <c r="EZ35" s="620"/>
      <c r="FA35" s="530"/>
      <c r="FF35" s="620"/>
      <c r="GW35" s="706" t="s">
        <v>415</v>
      </c>
      <c r="GX35" s="782">
        <v>2</v>
      </c>
      <c r="GY35" s="782">
        <f>GX35+1</f>
        <v>3</v>
      </c>
      <c r="GZ35" s="782">
        <f t="shared" ref="GZ35:HC35" si="136">GY35+1</f>
        <v>4</v>
      </c>
      <c r="HA35" s="782">
        <f t="shared" si="136"/>
        <v>5</v>
      </c>
      <c r="HB35" s="782">
        <f t="shared" si="136"/>
        <v>6</v>
      </c>
      <c r="HC35" s="782">
        <f t="shared" si="136"/>
        <v>7</v>
      </c>
      <c r="HD35" s="209"/>
      <c r="HG35" s="209"/>
      <c r="HH35" s="209"/>
      <c r="HI35" s="209"/>
      <c r="HJ35" s="209"/>
      <c r="HK35" s="209"/>
      <c r="HL35" s="209"/>
      <c r="HM35" s="209"/>
      <c r="HU35" s="236"/>
      <c r="HZ35" s="620"/>
      <c r="IA35" s="530"/>
      <c r="IP35" s="530"/>
    </row>
    <row r="36" spans="7:275" x14ac:dyDescent="0.25">
      <c r="L36" s="209"/>
      <c r="M36" s="209"/>
      <c r="N36" s="209"/>
      <c r="O36" s="209"/>
      <c r="P36" s="209"/>
      <c r="Q36" s="209"/>
      <c r="AM36" s="631"/>
      <c r="AN36" s="632"/>
      <c r="BV36" s="190"/>
      <c r="BW36" s="190"/>
      <c r="BX36" s="190"/>
      <c r="BY36" s="190"/>
      <c r="BZ36" s="190"/>
      <c r="CA36" s="190"/>
      <c r="CB36" s="190"/>
      <c r="CC36" s="190"/>
      <c r="CD36" s="190"/>
      <c r="CG36" s="530"/>
      <c r="DD36" s="190"/>
    </row>
    <row r="37" spans="7:275" x14ac:dyDescent="0.25">
      <c r="BV37" s="190"/>
      <c r="BW37" s="190"/>
      <c r="BX37" s="190"/>
      <c r="BY37" s="190"/>
      <c r="BZ37" s="190"/>
      <c r="CA37" s="190"/>
      <c r="CB37" s="190"/>
      <c r="CC37" s="190"/>
      <c r="CD37" s="190"/>
      <c r="DD37" s="190"/>
    </row>
    <row r="38" spans="7:275" x14ac:dyDescent="0.25">
      <c r="BV38" s="190"/>
      <c r="BW38" s="190"/>
      <c r="BX38" s="190"/>
      <c r="BY38" s="190"/>
      <c r="BZ38" s="190"/>
      <c r="CA38" s="190"/>
      <c r="CB38" s="190"/>
      <c r="CC38" s="190"/>
      <c r="CD38" s="190"/>
      <c r="DD38" s="190"/>
    </row>
    <row r="39" spans="7:275" x14ac:dyDescent="0.25">
      <c r="BV39" s="190"/>
      <c r="BW39" s="190"/>
      <c r="BX39" s="190"/>
      <c r="BY39" s="190"/>
      <c r="BZ39" s="190"/>
      <c r="CA39" s="190"/>
      <c r="CB39" s="190"/>
      <c r="CC39" s="190"/>
      <c r="CD39" s="190"/>
      <c r="DD39" s="190"/>
    </row>
    <row r="40" spans="7:275" x14ac:dyDescent="0.25">
      <c r="BV40" s="190"/>
      <c r="BW40" s="190"/>
      <c r="BX40" s="190"/>
      <c r="BY40" s="190"/>
      <c r="BZ40" s="190"/>
      <c r="CA40" s="190"/>
      <c r="CB40" s="190"/>
      <c r="CC40" s="190"/>
      <c r="CD40" s="190"/>
      <c r="DD40" s="190"/>
    </row>
    <row r="41" spans="7:275" x14ac:dyDescent="0.25">
      <c r="BV41" s="190"/>
      <c r="BW41" s="190"/>
      <c r="BX41" s="190"/>
      <c r="BY41" s="190"/>
      <c r="BZ41" s="190"/>
      <c r="CA41" s="190"/>
      <c r="CB41" s="190"/>
      <c r="CC41" s="190"/>
      <c r="CD41" s="190"/>
      <c r="DD41" s="190"/>
    </row>
    <row r="42" spans="7:275" x14ac:dyDescent="0.25">
      <c r="BV42" s="190"/>
      <c r="BW42" s="190"/>
      <c r="BX42" s="190"/>
      <c r="BY42" s="190"/>
      <c r="BZ42" s="190"/>
      <c r="CA42" s="190"/>
      <c r="CB42" s="190"/>
      <c r="CC42" s="190"/>
      <c r="CD42" s="190"/>
      <c r="DD42" s="190"/>
    </row>
    <row r="43" spans="7:275" x14ac:dyDescent="0.25">
      <c r="BV43" s="190"/>
      <c r="BW43" s="190"/>
      <c r="BX43" s="190"/>
      <c r="BY43" s="190"/>
      <c r="BZ43" s="190"/>
      <c r="CA43" s="190"/>
      <c r="CB43" s="190"/>
      <c r="CC43" s="190"/>
      <c r="CD43" s="190"/>
      <c r="DD43" s="190"/>
    </row>
    <row r="44" spans="7:275" x14ac:dyDescent="0.25">
      <c r="BV44" s="190"/>
      <c r="BW44" s="190"/>
      <c r="BX44" s="190"/>
      <c r="BY44" s="190"/>
      <c r="BZ44" s="190"/>
      <c r="CA44" s="190"/>
      <c r="CB44" s="190"/>
      <c r="CC44" s="190"/>
      <c r="CD44" s="190"/>
      <c r="DD44" s="190"/>
    </row>
    <row r="45" spans="7:275" x14ac:dyDescent="0.25">
      <c r="BV45" s="190"/>
      <c r="BW45" s="190"/>
      <c r="BX45" s="190"/>
      <c r="BY45" s="190"/>
      <c r="BZ45" s="190"/>
      <c r="CA45" s="190"/>
      <c r="CB45" s="190"/>
      <c r="CC45" s="190"/>
      <c r="CD45" s="190"/>
      <c r="DD45" s="190"/>
    </row>
    <row r="46" spans="7:275" x14ac:dyDescent="0.25">
      <c r="BV46" s="190"/>
      <c r="BW46" s="190"/>
      <c r="BX46" s="190"/>
      <c r="BY46" s="190"/>
      <c r="BZ46" s="190"/>
      <c r="CA46" s="190"/>
      <c r="CB46" s="190"/>
      <c r="CC46" s="190"/>
      <c r="CD46" s="190"/>
      <c r="DD46" s="190"/>
    </row>
    <row r="47" spans="7:275" x14ac:dyDescent="0.25">
      <c r="BV47" s="190"/>
      <c r="BW47" s="190"/>
      <c r="BX47" s="190"/>
      <c r="BY47" s="190"/>
      <c r="BZ47" s="190"/>
      <c r="CA47" s="190"/>
      <c r="CB47" s="190"/>
      <c r="CC47" s="190"/>
      <c r="CD47" s="190"/>
      <c r="DD47" s="190"/>
    </row>
    <row r="48" spans="7:275" x14ac:dyDescent="0.25">
      <c r="BV48" s="190"/>
      <c r="BW48" s="190"/>
      <c r="BX48" s="190"/>
      <c r="BY48" s="190"/>
      <c r="BZ48" s="190"/>
      <c r="CA48" s="190"/>
      <c r="CB48" s="190"/>
      <c r="CC48" s="190"/>
      <c r="CD48" s="190"/>
      <c r="DD48" s="190"/>
    </row>
    <row r="49" spans="74:108" x14ac:dyDescent="0.25">
      <c r="BV49" s="190"/>
      <c r="BW49" s="190"/>
      <c r="BX49" s="190"/>
      <c r="BY49" s="190"/>
      <c r="BZ49" s="190"/>
      <c r="CA49" s="190"/>
      <c r="CB49" s="190"/>
      <c r="CC49" s="190"/>
      <c r="CD49" s="190"/>
      <c r="DD49" s="190"/>
    </row>
    <row r="50" spans="74:108" x14ac:dyDescent="0.25">
      <c r="BV50" s="190"/>
      <c r="BW50" s="190"/>
      <c r="BX50" s="190"/>
      <c r="BY50" s="190"/>
      <c r="BZ50" s="190"/>
      <c r="CA50" s="190"/>
      <c r="CB50" s="190"/>
      <c r="CC50" s="190"/>
      <c r="CD50" s="190"/>
      <c r="DD50" s="190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BD1:BG1"/>
    <mergeCell ref="BK1:BS1"/>
    <mergeCell ref="BW1:CD1"/>
    <mergeCell ref="CH1:CQ1"/>
    <mergeCell ref="CU1:DC1"/>
    <mergeCell ref="DG1:DR1"/>
    <mergeCell ref="A1:E1"/>
    <mergeCell ref="I1:Q1"/>
    <mergeCell ref="U1:Y1"/>
    <mergeCell ref="AC1:AF1"/>
    <mergeCell ref="AJ1:AL1"/>
    <mergeCell ref="AP1:AZ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EB4C-8869-446A-A06D-D9DA441BED96}">
  <sheetPr>
    <tabColor theme="6"/>
    <pageSetUpPr fitToPage="1"/>
  </sheetPr>
  <dimension ref="A1:OO54"/>
  <sheetViews>
    <sheetView zoomScale="80" zoomScaleNormal="80" workbookViewId="0">
      <selection activeCell="H32" sqref="H32"/>
    </sheetView>
  </sheetViews>
  <sheetFormatPr defaultColWidth="9.85546875" defaultRowHeight="15" x14ac:dyDescent="0.25"/>
  <cols>
    <col min="1" max="1" width="1.140625" style="12" customWidth="1"/>
    <col min="2" max="2" width="3.85546875" style="12" customWidth="1"/>
    <col min="3" max="4" width="2.28515625" style="12" customWidth="1"/>
    <col min="5" max="5" width="31.5703125" style="12" customWidth="1"/>
    <col min="6" max="6" width="18.140625" style="12" customWidth="1"/>
    <col min="7" max="7" width="11.5703125" style="12" customWidth="1"/>
    <col min="8" max="8" width="17" style="12" customWidth="1"/>
    <col min="9" max="9" width="11.42578125" style="12" customWidth="1"/>
    <col min="10" max="11" width="16.42578125" style="12" customWidth="1"/>
    <col min="12" max="12" width="11" style="12" customWidth="1"/>
    <col min="13" max="13" width="15.85546875" style="12" customWidth="1"/>
    <col min="14" max="14" width="17" style="12" customWidth="1"/>
    <col min="15" max="15" width="11.42578125" style="12" customWidth="1"/>
    <col min="16" max="16" width="17.5703125" style="12" customWidth="1"/>
    <col min="17" max="18" width="16.42578125" style="12" customWidth="1"/>
    <col min="19" max="19" width="6.5703125" style="12" customWidth="1"/>
    <col min="20" max="20" width="6.5703125" style="13" customWidth="1"/>
    <col min="21" max="21" width="6.5703125" style="12" customWidth="1"/>
    <col min="22" max="22" width="4.42578125" style="12" customWidth="1"/>
    <col min="23" max="23" width="59" style="12" customWidth="1"/>
    <col min="24" max="27" width="14.140625" style="12" customWidth="1"/>
    <col min="28" max="28" width="2.85546875" style="12" customWidth="1"/>
    <col min="29" max="29" width="5.5703125" style="12" customWidth="1"/>
    <col min="30" max="30" width="6" style="13" customWidth="1"/>
    <col min="31" max="31" width="6" style="12" customWidth="1"/>
    <col min="32" max="32" width="4.42578125" style="12" customWidth="1"/>
    <col min="33" max="33" width="25.7109375" style="12" customWidth="1"/>
    <col min="34" max="36" width="19.140625" style="12" customWidth="1"/>
    <col min="37" max="37" width="6.5703125" style="12" customWidth="1"/>
    <col min="38" max="38" width="3.85546875" style="13" customWidth="1"/>
    <col min="39" max="39" width="2.28515625" style="12" customWidth="1"/>
    <col min="40" max="40" width="3.85546875" style="12" customWidth="1"/>
    <col min="41" max="42" width="2.28515625" style="12" customWidth="1"/>
    <col min="43" max="43" width="23.7109375" style="12" customWidth="1"/>
    <col min="44" max="44" width="2.42578125" style="12" customWidth="1"/>
    <col min="45" max="45" width="15.85546875" style="12" hidden="1" customWidth="1"/>
    <col min="46" max="46" width="16.42578125" style="12" hidden="1" customWidth="1"/>
    <col min="47" max="47" width="2.28515625" style="12" hidden="1" customWidth="1"/>
    <col min="48" max="48" width="14.7109375" style="12" hidden="1" customWidth="1"/>
    <col min="49" max="49" width="15.85546875" style="12" hidden="1" customWidth="1"/>
    <col min="50" max="50" width="11.5703125" style="12" hidden="1" customWidth="1"/>
    <col min="51" max="51" width="1.7109375" style="12" hidden="1" customWidth="1"/>
    <col min="52" max="52" width="14.7109375" style="12" hidden="1" customWidth="1"/>
    <col min="53" max="53" width="15.85546875" style="12" hidden="1" customWidth="1"/>
    <col min="54" max="54" width="11.5703125" style="12" hidden="1" customWidth="1"/>
    <col min="55" max="55" width="2.28515625" style="12" hidden="1" customWidth="1"/>
    <col min="56" max="56" width="14.7109375" style="12" hidden="1" customWidth="1"/>
    <col min="57" max="57" width="15.85546875" style="12" hidden="1" customWidth="1"/>
    <col min="58" max="58" width="11.5703125" style="12" hidden="1" customWidth="1"/>
    <col min="59" max="59" width="2.28515625" style="12" hidden="1" customWidth="1"/>
    <col min="60" max="60" width="14.7109375" style="12" hidden="1" customWidth="1"/>
    <col min="61" max="61" width="15.85546875" style="12" hidden="1" customWidth="1"/>
    <col min="62" max="62" width="11.5703125" style="12" hidden="1" customWidth="1"/>
    <col min="63" max="63" width="1.7109375" style="12" hidden="1" customWidth="1"/>
    <col min="64" max="64" width="14.7109375" style="12" hidden="1" customWidth="1"/>
    <col min="65" max="65" width="15.85546875" style="12" hidden="1" customWidth="1"/>
    <col min="66" max="66" width="11.5703125" style="12" hidden="1" customWidth="1"/>
    <col min="67" max="67" width="1.7109375" style="12" hidden="1" customWidth="1"/>
    <col min="68" max="68" width="14.7109375" style="12" hidden="1" customWidth="1"/>
    <col min="69" max="69" width="15.85546875" style="12" hidden="1" customWidth="1"/>
    <col min="70" max="70" width="11.5703125" style="12" hidden="1" customWidth="1"/>
    <col min="71" max="71" width="1.7109375" style="12" hidden="1" customWidth="1"/>
    <col min="72" max="72" width="17.5703125" style="12" hidden="1" customWidth="1"/>
    <col min="73" max="80" width="15.85546875" style="12" hidden="1" customWidth="1"/>
    <col min="81" max="81" width="15.85546875" style="12" customWidth="1"/>
    <col min="82" max="82" width="14.7109375" style="12" customWidth="1"/>
    <col min="83" max="83" width="15.85546875" style="12" hidden="1" customWidth="1"/>
    <col min="84" max="84" width="17.5703125" style="12" customWidth="1"/>
    <col min="85" max="85" width="14.42578125" style="12" customWidth="1"/>
    <col min="86" max="86" width="10.5703125" style="12" bestFit="1" customWidth="1"/>
    <col min="87" max="87" width="13.5703125" style="12" customWidth="1"/>
    <col min="88" max="88" width="12.5703125" style="12" bestFit="1" customWidth="1"/>
    <col min="89" max="89" width="9.85546875" style="12" customWidth="1"/>
    <col min="90" max="90" width="2.85546875" style="13" customWidth="1"/>
    <col min="91" max="91" width="2.85546875" style="12" customWidth="1"/>
    <col min="92" max="92" width="4.42578125" style="12" customWidth="1"/>
    <col min="93" max="93" width="16.42578125" style="12" customWidth="1"/>
    <col min="94" max="94" width="14.85546875" style="12" customWidth="1"/>
    <col min="95" max="95" width="16.42578125" style="12" bestFit="1" customWidth="1"/>
    <col min="96" max="96" width="14.85546875" style="12" customWidth="1"/>
    <col min="97" max="97" width="16.7109375" style="12" bestFit="1" customWidth="1"/>
    <col min="98" max="98" width="14.85546875" style="12" customWidth="1"/>
    <col min="99" max="99" width="16.7109375" style="12" customWidth="1"/>
    <col min="100" max="100" width="14.85546875" style="12" customWidth="1"/>
    <col min="101" max="101" width="16.7109375" style="12" bestFit="1" customWidth="1"/>
    <col min="102" max="102" width="2.85546875" style="12" customWidth="1"/>
    <col min="103" max="103" width="2.85546875" style="13" customWidth="1"/>
    <col min="104" max="104" width="2.85546875" style="12" customWidth="1"/>
    <col min="105" max="105" width="5" style="12" customWidth="1"/>
    <col min="106" max="106" width="16.42578125" style="12" customWidth="1"/>
    <col min="107" max="107" width="15.85546875" style="12" customWidth="1"/>
    <col min="108" max="108" width="15.85546875" style="16" customWidth="1"/>
    <col min="109" max="110" width="15.85546875" style="12" customWidth="1"/>
    <col min="111" max="111" width="19.140625" style="12" customWidth="1"/>
    <col min="112" max="112" width="2.85546875" style="12" customWidth="1"/>
    <col min="113" max="113" width="2.85546875" style="13" customWidth="1"/>
    <col min="114" max="114" width="2.85546875" style="12" customWidth="1"/>
    <col min="115" max="115" width="5" style="12" customWidth="1"/>
    <col min="116" max="116" width="14.85546875" style="12" customWidth="1"/>
    <col min="117" max="117" width="17" style="12" customWidth="1"/>
    <col min="118" max="118" width="17" style="16" customWidth="1"/>
    <col min="119" max="120" width="17" style="12" customWidth="1"/>
    <col min="121" max="121" width="2.85546875" style="12" customWidth="1"/>
    <col min="122" max="122" width="2.85546875" style="13" customWidth="1"/>
    <col min="123" max="123" width="2.28515625" style="12" customWidth="1"/>
    <col min="124" max="124" width="5" style="12" customWidth="1"/>
    <col min="125" max="125" width="33.28515625" style="17" customWidth="1"/>
    <col min="126" max="126" width="14.85546875" style="18" customWidth="1"/>
    <col min="127" max="127" width="15.85546875" style="18" customWidth="1"/>
    <col min="128" max="128" width="15.85546875" style="18" bestFit="1" customWidth="1"/>
    <col min="129" max="129" width="16.42578125" style="18" bestFit="1" customWidth="1"/>
    <col min="130" max="131" width="14.85546875" style="12" customWidth="1"/>
    <col min="132" max="133" width="16.42578125" style="12" bestFit="1" customWidth="1"/>
    <col min="134" max="134" width="2.85546875" style="12" customWidth="1"/>
    <col min="135" max="135" width="2.85546875" style="13" customWidth="1"/>
    <col min="136" max="136" width="2.85546875" style="12" customWidth="1"/>
    <col min="137" max="137" width="5" style="12" customWidth="1"/>
    <col min="138" max="138" width="16.42578125" style="12" customWidth="1"/>
    <col min="139" max="146" width="14.85546875" style="12" customWidth="1"/>
    <col min="147" max="147" width="2.85546875" style="12" customWidth="1"/>
    <col min="148" max="148" width="2.85546875" style="13" customWidth="1"/>
    <col min="149" max="149" width="2.85546875" style="12" customWidth="1"/>
    <col min="150" max="150" width="4.42578125" style="12" customWidth="1"/>
    <col min="151" max="151" width="15.85546875" style="12" customWidth="1"/>
    <col min="152" max="153" width="14.85546875" style="12" bestFit="1" customWidth="1"/>
    <col min="154" max="154" width="14" style="12" bestFit="1" customWidth="1"/>
    <col min="155" max="155" width="14.85546875" style="12" bestFit="1" customWidth="1"/>
    <col min="156" max="156" width="13.7109375" style="12" customWidth="1"/>
    <col min="157" max="158" width="14.85546875" style="12" bestFit="1" customWidth="1"/>
    <col min="159" max="159" width="15.140625" style="12" bestFit="1" customWidth="1"/>
    <col min="160" max="160" width="15.85546875" style="12" customWidth="1"/>
    <col min="161" max="161" width="21" style="12" customWidth="1"/>
    <col min="162" max="162" width="15.85546875" style="12" customWidth="1"/>
    <col min="163" max="163" width="2.85546875" style="12" customWidth="1"/>
    <col min="164" max="164" width="2.85546875" style="13" customWidth="1"/>
    <col min="165" max="165" width="2.85546875" style="12" customWidth="1"/>
    <col min="166" max="166" width="5" style="12" customWidth="1"/>
    <col min="167" max="167" width="1.140625" style="12" customWidth="1"/>
    <col min="168" max="168" width="36.5703125" style="12" customWidth="1"/>
    <col min="169" max="170" width="14.85546875" style="12" bestFit="1" customWidth="1"/>
    <col min="171" max="171" width="15.140625" style="12" bestFit="1" customWidth="1"/>
    <col min="172" max="172" width="16.42578125" style="12" bestFit="1" customWidth="1"/>
    <col min="173" max="173" width="14.28515625" style="12" bestFit="1" customWidth="1"/>
    <col min="174" max="175" width="15.140625" style="12" bestFit="1" customWidth="1"/>
    <col min="176" max="176" width="14.85546875" style="12" bestFit="1" customWidth="1"/>
    <col min="177" max="177" width="20.28515625" style="12" customWidth="1"/>
    <col min="178" max="178" width="2.85546875" style="12" customWidth="1"/>
    <col min="179" max="179" width="2.85546875" style="13" customWidth="1"/>
    <col min="180" max="180" width="2.85546875" style="12" customWidth="1"/>
    <col min="181" max="181" width="9.85546875" style="12" customWidth="1"/>
    <col min="182" max="182" width="26.28515625" style="12" customWidth="1"/>
    <col min="183" max="183" width="12.85546875" style="12" bestFit="1" customWidth="1"/>
    <col min="184" max="184" width="12.5703125" style="12" bestFit="1" customWidth="1"/>
    <col min="185" max="185" width="14.28515625" style="12" bestFit="1" customWidth="1"/>
    <col min="186" max="186" width="15.140625" style="12" bestFit="1" customWidth="1"/>
    <col min="187" max="187" width="11" style="12" bestFit="1" customWidth="1"/>
    <col min="188" max="188" width="11.7109375" style="12" customWidth="1"/>
    <col min="189" max="189" width="12.140625" style="12" bestFit="1" customWidth="1"/>
    <col min="190" max="190" width="12.5703125" style="12" bestFit="1" customWidth="1"/>
    <col min="191" max="191" width="2.85546875" style="12" customWidth="1"/>
    <col min="192" max="192" width="2.85546875" style="13" customWidth="1"/>
    <col min="193" max="193" width="2.85546875" style="12" customWidth="1"/>
    <col min="194" max="194" width="5" style="12" customWidth="1"/>
    <col min="195" max="195" width="15.85546875" style="12" customWidth="1"/>
    <col min="196" max="198" width="16.42578125" style="12" customWidth="1"/>
    <col min="199" max="199" width="18.42578125" style="12" bestFit="1" customWidth="1"/>
    <col min="200" max="203" width="16.42578125" style="12" customWidth="1"/>
    <col min="204" max="204" width="2.85546875" style="12" customWidth="1"/>
    <col min="205" max="205" width="2.85546875" style="13" customWidth="1"/>
    <col min="206" max="206" width="2.85546875" style="12" customWidth="1"/>
    <col min="207" max="207" width="2.7109375" style="12" customWidth="1"/>
    <col min="208" max="208" width="5.42578125" style="12" customWidth="1"/>
    <col min="209" max="209" width="8.85546875" style="12" bestFit="1" customWidth="1"/>
    <col min="210" max="210" width="15" style="12" bestFit="1" customWidth="1"/>
    <col min="211" max="211" width="14.42578125" style="12" bestFit="1" customWidth="1"/>
    <col min="212" max="213" width="21.85546875" style="12" bestFit="1" customWidth="1"/>
    <col min="214" max="214" width="8.140625" style="12" bestFit="1" customWidth="1"/>
    <col min="215" max="215" width="9.5703125" style="12" bestFit="1" customWidth="1"/>
    <col min="216" max="218" width="9.85546875" style="12" bestFit="1" customWidth="1"/>
    <col min="219" max="219" width="3.85546875" style="12" customWidth="1"/>
    <col min="220" max="220" width="3.85546875" style="13" customWidth="1"/>
    <col min="221" max="221" width="3.85546875" style="12" customWidth="1"/>
    <col min="222" max="222" width="5" style="12" customWidth="1"/>
    <col min="223" max="223" width="10.85546875" style="12" customWidth="1"/>
    <col min="224" max="224" width="11.28515625" style="12" customWidth="1"/>
    <col min="225" max="225" width="18.42578125" style="12" customWidth="1"/>
    <col min="226" max="226" width="14.42578125" style="12" bestFit="1" customWidth="1"/>
    <col min="227" max="227" width="17.85546875" style="12" bestFit="1" customWidth="1"/>
    <col min="228" max="228" width="18.140625" style="12" bestFit="1" customWidth="1"/>
    <col min="229" max="229" width="16.7109375" style="12" bestFit="1" customWidth="1"/>
    <col min="230" max="230" width="15.85546875" style="12" bestFit="1" customWidth="1"/>
    <col min="231" max="232" width="14.85546875" style="12" customWidth="1"/>
    <col min="233" max="233" width="15.5703125" style="12" bestFit="1" customWidth="1"/>
    <col min="234" max="234" width="14.7109375" style="12" bestFit="1" customWidth="1"/>
    <col min="235" max="235" width="3.85546875" style="12" customWidth="1"/>
    <col min="236" max="236" width="3.85546875" style="13" customWidth="1"/>
    <col min="237" max="237" width="3.85546875" style="12" customWidth="1"/>
    <col min="238" max="238" width="5" style="12" customWidth="1"/>
    <col min="239" max="239" width="15.42578125" style="12" customWidth="1"/>
    <col min="240" max="240" width="8.140625" style="12" customWidth="1"/>
    <col min="241" max="241" width="9.85546875" style="12" customWidth="1"/>
    <col min="242" max="243" width="16.7109375" style="12" bestFit="1" customWidth="1"/>
    <col min="244" max="244" width="14.85546875" style="12" bestFit="1" customWidth="1"/>
    <col min="245" max="245" width="14.85546875" style="411" bestFit="1" customWidth="1"/>
    <col min="246" max="246" width="16.42578125" style="12" bestFit="1" customWidth="1"/>
    <col min="247" max="247" width="15.42578125" style="411" bestFit="1" customWidth="1"/>
    <col min="248" max="248" width="16.42578125" style="12" bestFit="1" customWidth="1"/>
    <col min="249" max="249" width="15.85546875" style="12" bestFit="1" customWidth="1"/>
    <col min="250" max="250" width="15.140625" style="12" bestFit="1" customWidth="1"/>
    <col min="251" max="251" width="14.28515625" style="12" bestFit="1" customWidth="1"/>
    <col min="252" max="253" width="14.85546875" style="12" bestFit="1" customWidth="1"/>
    <col min="254" max="255" width="15.140625" style="12" bestFit="1" customWidth="1"/>
    <col min="256" max="256" width="14.85546875" style="12" bestFit="1" customWidth="1"/>
    <col min="257" max="257" width="16.42578125" style="12" bestFit="1" customWidth="1"/>
    <col min="258" max="258" width="21.85546875" style="12" customWidth="1"/>
    <col min="259" max="259" width="25.7109375" style="12" customWidth="1"/>
    <col min="260" max="260" width="19.7109375" style="12" bestFit="1" customWidth="1"/>
    <col min="261" max="261" width="3.28515625" style="12" customWidth="1"/>
    <col min="262" max="262" width="3.28515625" style="13" customWidth="1"/>
    <col min="263" max="263" width="2.28515625" style="12" customWidth="1"/>
    <col min="264" max="264" width="6.140625" style="12" customWidth="1"/>
    <col min="265" max="265" width="9.42578125" style="12" customWidth="1"/>
    <col min="266" max="266" width="8.42578125" style="12" bestFit="1" customWidth="1"/>
    <col min="267" max="267" width="9.42578125" style="12" customWidth="1"/>
    <col min="268" max="269" width="15.85546875" style="12" customWidth="1"/>
    <col min="270" max="270" width="8.28515625" style="12" customWidth="1"/>
    <col min="271" max="271" width="9.42578125" style="12" customWidth="1"/>
    <col min="272" max="272" width="8.42578125" style="12" bestFit="1" customWidth="1"/>
    <col min="273" max="273" width="9.85546875" style="12" customWidth="1"/>
    <col min="274" max="274" width="3.85546875" style="12" customWidth="1"/>
    <col min="275" max="275" width="3.85546875" style="13" customWidth="1"/>
    <col min="276" max="276" width="3.85546875" style="12" customWidth="1"/>
    <col min="277" max="277" width="4.85546875" style="12" customWidth="1"/>
    <col min="278" max="278" width="12" style="12" customWidth="1"/>
    <col min="279" max="279" width="11.5703125" style="12" customWidth="1"/>
    <col min="280" max="282" width="12.5703125" style="12" customWidth="1"/>
    <col min="283" max="284" width="18.140625" style="12" bestFit="1" customWidth="1"/>
    <col min="285" max="285" width="15.85546875" style="12" bestFit="1" customWidth="1"/>
    <col min="286" max="286" width="17.28515625" style="12" bestFit="1" customWidth="1"/>
    <col min="287" max="288" width="15.140625" style="12" bestFit="1" customWidth="1"/>
    <col min="289" max="289" width="16.7109375" style="12" bestFit="1" customWidth="1"/>
    <col min="290" max="290" width="17.85546875" style="12" bestFit="1" customWidth="1"/>
    <col min="291" max="291" width="3.85546875" style="12" customWidth="1"/>
    <col min="292" max="292" width="3.85546875" style="13" customWidth="1"/>
    <col min="293" max="293" width="3.85546875" style="12" customWidth="1"/>
    <col min="294" max="294" width="4.85546875" style="12" customWidth="1"/>
    <col min="295" max="295" width="20.5703125" style="12" customWidth="1"/>
    <col min="296" max="296" width="11" style="12" customWidth="1"/>
    <col min="297" max="297" width="16.7109375" style="12" customWidth="1"/>
    <col min="298" max="298" width="15.85546875" style="12" bestFit="1" customWidth="1"/>
    <col min="299" max="299" width="16.7109375" style="12" bestFit="1" customWidth="1"/>
    <col min="300" max="300" width="14.28515625" style="12" customWidth="1"/>
    <col min="301" max="301" width="14.28515625" style="411" customWidth="1"/>
    <col min="302" max="302" width="14.28515625" style="12" customWidth="1"/>
    <col min="303" max="303" width="16.42578125" style="411" bestFit="1" customWidth="1"/>
    <col min="304" max="304" width="14.28515625" style="411" customWidth="1"/>
    <col min="305" max="305" width="16.42578125" style="12" bestFit="1" customWidth="1"/>
    <col min="306" max="306" width="14.28515625" style="12" customWidth="1"/>
    <col min="307" max="307" width="15.140625" style="12" bestFit="1" customWidth="1"/>
    <col min="308" max="311" width="14.28515625" style="12" customWidth="1"/>
    <col min="312" max="312" width="15.42578125" style="12" bestFit="1" customWidth="1"/>
    <col min="313" max="313" width="16.42578125" style="12" bestFit="1" customWidth="1"/>
    <col min="314" max="314" width="17" style="12" customWidth="1"/>
    <col min="315" max="315" width="16.7109375" style="12" bestFit="1" customWidth="1"/>
    <col min="316" max="316" width="6.5703125" style="12" customWidth="1"/>
    <col min="317" max="317" width="2.28515625" style="13" customWidth="1"/>
    <col min="318" max="319" width="6.5703125" style="12" customWidth="1"/>
    <col min="320" max="320" width="9.42578125" style="12" customWidth="1"/>
    <col min="321" max="321" width="18" style="12" customWidth="1"/>
    <col min="322" max="322" width="17.5703125" style="12" customWidth="1"/>
    <col min="323" max="323" width="17.85546875" style="12" bestFit="1" customWidth="1"/>
    <col min="324" max="324" width="16.7109375" style="12" bestFit="1" customWidth="1"/>
    <col min="325" max="325" width="16.42578125" style="12" bestFit="1" customWidth="1"/>
    <col min="326" max="326" width="16.7109375" style="12" bestFit="1" customWidth="1"/>
    <col min="327" max="328" width="15.140625" style="12" bestFit="1" customWidth="1"/>
    <col min="329" max="329" width="16.7109375" style="12" bestFit="1" customWidth="1"/>
    <col min="330" max="330" width="9.85546875" style="12"/>
    <col min="331" max="331" width="2.7109375" style="13" customWidth="1"/>
    <col min="332" max="332" width="2.7109375" style="12" customWidth="1"/>
    <col min="333" max="333" width="15.85546875" style="12" customWidth="1"/>
    <col min="334" max="334" width="32.28515625" style="12" bestFit="1" customWidth="1"/>
    <col min="335" max="335" width="15.85546875" style="12" customWidth="1"/>
    <col min="336" max="336" width="2.7109375" style="12" customWidth="1"/>
    <col min="337" max="337" width="2.7109375" style="13" customWidth="1"/>
    <col min="338" max="338" width="2.7109375" style="12" customWidth="1"/>
    <col min="339" max="339" width="3.85546875" style="18" customWidth="1"/>
    <col min="340" max="340" width="58.42578125" style="18" customWidth="1"/>
    <col min="341" max="341" width="17.5703125" style="12" bestFit="1" customWidth="1"/>
    <col min="342" max="342" width="19.5703125" style="12" customWidth="1"/>
    <col min="343" max="343" width="16.42578125" style="12" hidden="1" customWidth="1"/>
    <col min="344" max="344" width="20.85546875" style="12" bestFit="1" customWidth="1"/>
    <col min="345" max="345" width="20.7109375" style="12" customWidth="1"/>
    <col min="346" max="346" width="3.85546875" style="12" customWidth="1"/>
    <col min="347" max="347" width="2.7109375" style="13" customWidth="1"/>
    <col min="348" max="348" width="2.7109375" style="12" customWidth="1"/>
    <col min="349" max="349" width="4.42578125" style="12" bestFit="1" customWidth="1"/>
    <col min="350" max="350" width="57.85546875" style="411" bestFit="1" customWidth="1"/>
    <col min="351" max="351" width="24.85546875" style="12" customWidth="1"/>
    <col min="352" max="352" width="25.5703125" style="12" bestFit="1" customWidth="1"/>
    <col min="353" max="353" width="17.5703125" style="12" bestFit="1" customWidth="1"/>
    <col min="354" max="354" width="13.5703125" style="12" customWidth="1"/>
    <col min="355" max="355" width="3.85546875" style="12" customWidth="1"/>
    <col min="356" max="356" width="2.7109375" style="13" customWidth="1"/>
    <col min="357" max="357" width="2.7109375" style="12" customWidth="1"/>
    <col min="358" max="405" width="9.85546875" style="29"/>
    <col min="406" max="16384" width="9.85546875" style="12"/>
  </cols>
  <sheetData>
    <row r="1" spans="1:405" s="5" customFormat="1" ht="16.5" x14ac:dyDescent="0.3">
      <c r="A1" s="1019" t="s">
        <v>0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19"/>
      <c r="P1" s="1019"/>
      <c r="Q1" s="1019"/>
      <c r="R1" s="1019"/>
      <c r="S1" s="2"/>
      <c r="T1" s="3"/>
      <c r="U1" s="2"/>
      <c r="V1" s="2"/>
      <c r="W1" s="1019" t="s">
        <v>1</v>
      </c>
      <c r="X1" s="1019"/>
      <c r="Y1" s="1019"/>
      <c r="Z1" s="1019"/>
      <c r="AA1" s="1019"/>
      <c r="AB1" s="1"/>
      <c r="AC1" s="1"/>
      <c r="AD1" s="3"/>
      <c r="AE1" s="2"/>
      <c r="AF1" s="1019" t="s">
        <v>2</v>
      </c>
      <c r="AG1" s="1019"/>
      <c r="AH1" s="1019"/>
      <c r="AI1" s="1019"/>
      <c r="AJ1" s="1019"/>
      <c r="AK1" s="2"/>
      <c r="AL1" s="3"/>
      <c r="AM1" s="1019" t="s">
        <v>3</v>
      </c>
      <c r="AN1" s="1019"/>
      <c r="AO1" s="1019"/>
      <c r="AP1" s="1019"/>
      <c r="AQ1" s="1019"/>
      <c r="AR1" s="1019"/>
      <c r="AS1" s="1019"/>
      <c r="AT1" s="1019"/>
      <c r="AU1" s="1019"/>
      <c r="AV1" s="1019"/>
      <c r="AW1" s="1019"/>
      <c r="AX1" s="1019"/>
      <c r="AY1" s="1019"/>
      <c r="AZ1" s="1019"/>
      <c r="BA1" s="1019"/>
      <c r="BB1" s="1019"/>
      <c r="BC1" s="1019"/>
      <c r="BD1" s="1019"/>
      <c r="BE1" s="1019"/>
      <c r="BF1" s="1019"/>
      <c r="BG1" s="1019"/>
      <c r="BH1" s="1019"/>
      <c r="BI1" s="1019"/>
      <c r="BJ1" s="1019"/>
      <c r="BK1" s="1019"/>
      <c r="BL1" s="1019"/>
      <c r="BM1" s="1019"/>
      <c r="BN1" s="1019"/>
      <c r="BO1" s="1019"/>
      <c r="BP1" s="1019"/>
      <c r="BQ1" s="1019"/>
      <c r="BR1" s="1019"/>
      <c r="BS1" s="1019"/>
      <c r="BT1" s="1019"/>
      <c r="BU1" s="1019"/>
      <c r="BV1" s="1019"/>
      <c r="BW1" s="1019"/>
      <c r="BX1" s="1019"/>
      <c r="BY1" s="1019"/>
      <c r="BZ1" s="1019"/>
      <c r="CA1" s="1019"/>
      <c r="CB1" s="1019"/>
      <c r="CC1" s="1019"/>
      <c r="CD1" s="1019"/>
      <c r="CE1" s="1019"/>
      <c r="CF1" s="1019"/>
      <c r="CG1" s="1019"/>
      <c r="CH1" s="1019"/>
      <c r="CI1" s="1019"/>
      <c r="CJ1" s="1019"/>
      <c r="CK1" s="2"/>
      <c r="CL1" s="3"/>
      <c r="CM1" s="1019" t="s">
        <v>4</v>
      </c>
      <c r="CN1" s="1019"/>
      <c r="CO1" s="1019"/>
      <c r="CP1" s="1019"/>
      <c r="CQ1" s="1019"/>
      <c r="CR1" s="1019"/>
      <c r="CS1" s="1019"/>
      <c r="CT1" s="1019"/>
      <c r="CU1" s="1019"/>
      <c r="CV1" s="1019"/>
      <c r="CW1" s="1019"/>
      <c r="CX1" s="1019"/>
      <c r="CY1" s="4"/>
      <c r="CZ1" s="1019" t="s">
        <v>5</v>
      </c>
      <c r="DA1" s="1019"/>
      <c r="DB1" s="1019"/>
      <c r="DC1" s="1019"/>
      <c r="DD1" s="1019"/>
      <c r="DE1" s="1019"/>
      <c r="DF1" s="1019"/>
      <c r="DG1" s="1019"/>
      <c r="DH1" s="1019"/>
      <c r="DI1" s="4"/>
      <c r="DJ1" s="1019" t="s">
        <v>6</v>
      </c>
      <c r="DK1" s="1019"/>
      <c r="DL1" s="1019"/>
      <c r="DM1" s="1019"/>
      <c r="DN1" s="1019"/>
      <c r="DO1" s="1019"/>
      <c r="DP1" s="1019"/>
      <c r="DQ1" s="1019"/>
      <c r="DR1" s="3"/>
      <c r="DS1" s="1019" t="s">
        <v>7</v>
      </c>
      <c r="DT1" s="1019"/>
      <c r="DU1" s="1019"/>
      <c r="DV1" s="1019"/>
      <c r="DW1" s="1019"/>
      <c r="DX1" s="1019"/>
      <c r="DY1" s="1019"/>
      <c r="DZ1" s="1019"/>
      <c r="EA1" s="1019"/>
      <c r="EB1" s="1019"/>
      <c r="EC1" s="1019"/>
      <c r="ED1" s="1019"/>
      <c r="EE1" s="4"/>
      <c r="EG1" s="1019" t="s">
        <v>8</v>
      </c>
      <c r="EH1" s="1019"/>
      <c r="EI1" s="1019"/>
      <c r="EJ1" s="1019"/>
      <c r="EK1" s="1019"/>
      <c r="EL1" s="1019"/>
      <c r="EM1" s="1019"/>
      <c r="EN1" s="1019"/>
      <c r="EO1" s="1019"/>
      <c r="EP1" s="1019"/>
      <c r="EQ1" s="2"/>
      <c r="ER1" s="4"/>
      <c r="ES1" s="2"/>
      <c r="ET1" s="1019" t="s">
        <v>9</v>
      </c>
      <c r="EU1" s="1019"/>
      <c r="EV1" s="1019"/>
      <c r="EW1" s="1019"/>
      <c r="EX1" s="1019"/>
      <c r="EY1" s="1019"/>
      <c r="EZ1" s="1019"/>
      <c r="FA1" s="1019"/>
      <c r="FB1" s="1019"/>
      <c r="FC1" s="1019"/>
      <c r="FD1" s="1019"/>
      <c r="FE1" s="1019"/>
      <c r="FF1" s="1019"/>
      <c r="FG1" s="2"/>
      <c r="FH1" s="4"/>
      <c r="FI1" s="1019" t="s">
        <v>10</v>
      </c>
      <c r="FJ1" s="1019"/>
      <c r="FK1" s="1019"/>
      <c r="FL1" s="1019"/>
      <c r="FM1" s="1019"/>
      <c r="FN1" s="1019"/>
      <c r="FO1" s="1019"/>
      <c r="FP1" s="1019"/>
      <c r="FQ1" s="1019"/>
      <c r="FR1" s="1019"/>
      <c r="FS1" s="1019"/>
      <c r="FT1" s="1019"/>
      <c r="FU1" s="1019"/>
      <c r="FV1" s="1019"/>
      <c r="FW1" s="4"/>
      <c r="FX1" s="1019" t="s">
        <v>11</v>
      </c>
      <c r="FY1" s="1019"/>
      <c r="FZ1" s="1019"/>
      <c r="GA1" s="1019"/>
      <c r="GB1" s="1019"/>
      <c r="GC1" s="1019"/>
      <c r="GD1" s="1019"/>
      <c r="GE1" s="1019"/>
      <c r="GF1" s="1019"/>
      <c r="GG1" s="1019"/>
      <c r="GH1" s="1019"/>
      <c r="GI1" s="1019"/>
      <c r="GJ1" s="3"/>
      <c r="GK1" s="1019" t="s">
        <v>12</v>
      </c>
      <c r="GL1" s="1019"/>
      <c r="GM1" s="1019"/>
      <c r="GN1" s="1019"/>
      <c r="GO1" s="1019"/>
      <c r="GP1" s="1019"/>
      <c r="GQ1" s="1019"/>
      <c r="GR1" s="1019"/>
      <c r="GS1" s="1019"/>
      <c r="GT1" s="1019"/>
      <c r="GU1" s="1019"/>
      <c r="GV1" s="1019"/>
      <c r="GW1" s="4"/>
      <c r="GY1" s="1020" t="s">
        <v>13</v>
      </c>
      <c r="GZ1" s="1020"/>
      <c r="HA1" s="1020"/>
      <c r="HB1" s="1020"/>
      <c r="HC1" s="1020"/>
      <c r="HD1" s="1020"/>
      <c r="HE1" s="1020"/>
      <c r="HF1" s="1020"/>
      <c r="HG1" s="1020"/>
      <c r="HH1" s="1020"/>
      <c r="HI1" s="1020"/>
      <c r="HJ1" s="1020"/>
      <c r="HL1" s="3"/>
      <c r="HM1" s="2"/>
      <c r="HN1" s="1021" t="s">
        <v>14</v>
      </c>
      <c r="HO1" s="1021"/>
      <c r="HP1" s="1021"/>
      <c r="HQ1" s="1021"/>
      <c r="HR1" s="1021"/>
      <c r="HS1" s="1021"/>
      <c r="HT1" s="1021"/>
      <c r="HU1" s="1021"/>
      <c r="HV1" s="1021"/>
      <c r="HW1" s="1021"/>
      <c r="HX1" s="1021"/>
      <c r="HY1" s="1021"/>
      <c r="HZ1" s="1021"/>
      <c r="IA1" s="2"/>
      <c r="IB1" s="3"/>
      <c r="IC1" s="2"/>
      <c r="ID1" s="1021" t="s">
        <v>15</v>
      </c>
      <c r="IE1" s="1021"/>
      <c r="IF1" s="1021"/>
      <c r="IG1" s="1021"/>
      <c r="IH1" s="1021"/>
      <c r="II1" s="1021"/>
      <c r="IJ1" s="1021"/>
      <c r="IK1" s="1021"/>
      <c r="IL1" s="1021"/>
      <c r="IM1" s="1021"/>
      <c r="IN1" s="1021"/>
      <c r="IO1" s="1021"/>
      <c r="IP1" s="1021"/>
      <c r="IQ1" s="1021"/>
      <c r="IR1" s="1021"/>
      <c r="IS1" s="1021"/>
      <c r="IT1" s="1021"/>
      <c r="IU1" s="1021"/>
      <c r="IV1" s="1021"/>
      <c r="IW1" s="1021"/>
      <c r="IX1" s="1021"/>
      <c r="IY1" s="1021"/>
      <c r="IZ1" s="1021"/>
      <c r="JA1" s="1"/>
      <c r="JB1" s="4"/>
      <c r="JC1" s="2"/>
      <c r="JD1" s="1021" t="s">
        <v>16</v>
      </c>
      <c r="JE1" s="1021"/>
      <c r="JF1" s="1021"/>
      <c r="JG1" s="1021"/>
      <c r="JH1" s="1021"/>
      <c r="JI1" s="1021"/>
      <c r="JJ1" s="1021"/>
      <c r="JK1" s="1021"/>
      <c r="JL1" s="1021"/>
      <c r="JM1" s="1021"/>
      <c r="JO1" s="3"/>
      <c r="JQ1" s="1021" t="s">
        <v>17</v>
      </c>
      <c r="JR1" s="1021"/>
      <c r="JS1" s="1021"/>
      <c r="JT1" s="1021"/>
      <c r="JU1" s="1021"/>
      <c r="JV1" s="1021"/>
      <c r="JW1" s="1021"/>
      <c r="JX1" s="1021"/>
      <c r="JY1" s="1021"/>
      <c r="JZ1" s="1021"/>
      <c r="KA1" s="1021"/>
      <c r="KB1" s="1021"/>
      <c r="KC1" s="1021"/>
      <c r="KD1" s="1021"/>
      <c r="KE1" s="2"/>
      <c r="KF1" s="3"/>
      <c r="KG1" s="2"/>
      <c r="KH1" s="1025" t="s">
        <v>18</v>
      </c>
      <c r="KI1" s="1025"/>
      <c r="KJ1" s="1025"/>
      <c r="KK1" s="1025"/>
      <c r="KL1" s="1025"/>
      <c r="KM1" s="1025"/>
      <c r="KN1" s="1025"/>
      <c r="KO1" s="1025"/>
      <c r="KP1" s="1025"/>
      <c r="KQ1" s="1025"/>
      <c r="KR1" s="1025"/>
      <c r="KS1" s="1025"/>
      <c r="KT1" s="1025"/>
      <c r="KU1" s="1025"/>
      <c r="KV1" s="1025"/>
      <c r="KW1" s="1025"/>
      <c r="KX1" s="1025"/>
      <c r="KY1" s="1025"/>
      <c r="KZ1" s="1025"/>
      <c r="LA1" s="1025"/>
      <c r="LB1" s="1025"/>
      <c r="LC1" s="1025"/>
      <c r="LD1" s="1"/>
      <c r="LE1" s="4"/>
      <c r="LG1" s="1021" t="s">
        <v>19</v>
      </c>
      <c r="LH1" s="1021"/>
      <c r="LI1" s="1021"/>
      <c r="LJ1" s="1021"/>
      <c r="LK1" s="1021"/>
      <c r="LL1" s="1021"/>
      <c r="LM1" s="1021"/>
      <c r="LN1" s="1021"/>
      <c r="LO1" s="1021"/>
      <c r="LP1" s="1021"/>
      <c r="LQ1" s="1021"/>
      <c r="LR1" s="2"/>
      <c r="LS1" s="3"/>
      <c r="LT1" s="2"/>
      <c r="LU1" s="1021" t="s">
        <v>20</v>
      </c>
      <c r="LV1" s="1021"/>
      <c r="LW1" s="1021"/>
      <c r="LX1" s="2"/>
      <c r="LY1" s="3"/>
      <c r="LZ1" s="2"/>
      <c r="MA1" s="1014" t="s">
        <v>21</v>
      </c>
      <c r="MB1" s="1014"/>
      <c r="MC1" s="1014"/>
      <c r="MD1" s="1014"/>
      <c r="ME1" s="1014"/>
      <c r="MF1" s="1014"/>
      <c r="MG1" s="1014"/>
      <c r="MH1" s="2"/>
      <c r="MI1" s="3"/>
      <c r="MJ1" s="2"/>
      <c r="MK1" s="1015" t="s">
        <v>22</v>
      </c>
      <c r="ML1" s="1015"/>
      <c r="MM1" s="1015"/>
      <c r="MN1" s="1015"/>
      <c r="MO1" s="1015"/>
      <c r="MP1" s="1015"/>
      <c r="MQ1" s="2"/>
      <c r="MR1" s="3"/>
      <c r="MS1" s="2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</row>
    <row r="2" spans="1:405" ht="16.5" x14ac:dyDescent="0.3">
      <c r="A2" s="8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"/>
      <c r="AK2" s="11"/>
      <c r="AM2" s="14"/>
      <c r="AO2" s="14"/>
      <c r="AP2" s="14"/>
      <c r="AQ2" s="14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5"/>
      <c r="EQ2" s="19"/>
      <c r="ER2" s="20"/>
      <c r="FG2" s="19"/>
      <c r="FH2" s="20"/>
      <c r="FV2" s="14"/>
      <c r="GI2" s="14"/>
      <c r="GJ2" s="21"/>
      <c r="GY2" s="1020"/>
      <c r="GZ2" s="1020"/>
      <c r="HA2" s="1020"/>
      <c r="HB2" s="1020"/>
      <c r="HC2" s="1020"/>
      <c r="HD2" s="1020"/>
      <c r="HE2" s="1020"/>
      <c r="HF2" s="1020"/>
      <c r="HG2" s="1020"/>
      <c r="HH2" s="1020"/>
      <c r="HI2" s="1020"/>
      <c r="HJ2" s="1020"/>
      <c r="HK2" s="14"/>
      <c r="HN2" s="1021"/>
      <c r="HO2" s="1021"/>
      <c r="HP2" s="1021"/>
      <c r="HQ2" s="1021"/>
      <c r="HR2" s="1021"/>
      <c r="HS2" s="1021"/>
      <c r="HT2" s="1021"/>
      <c r="HU2" s="1021"/>
      <c r="HV2" s="1021"/>
      <c r="HW2" s="1021"/>
      <c r="HX2" s="1021"/>
      <c r="HY2" s="1021"/>
      <c r="HZ2" s="1021"/>
      <c r="ID2" s="1021"/>
      <c r="IE2" s="1021"/>
      <c r="IF2" s="1021"/>
      <c r="IG2" s="1021"/>
      <c r="IH2" s="1021"/>
      <c r="II2" s="1021"/>
      <c r="IJ2" s="1021"/>
      <c r="IK2" s="1021"/>
      <c r="IL2" s="1021"/>
      <c r="IM2" s="1021"/>
      <c r="IN2" s="1021"/>
      <c r="IO2" s="1021"/>
      <c r="IP2" s="1021"/>
      <c r="IQ2" s="1021"/>
      <c r="IR2" s="1021"/>
      <c r="IS2" s="1021"/>
      <c r="IT2" s="1021"/>
      <c r="IU2" s="1021"/>
      <c r="IV2" s="1021"/>
      <c r="IW2" s="1021"/>
      <c r="IX2" s="1021"/>
      <c r="IY2" s="1021"/>
      <c r="IZ2" s="1021"/>
      <c r="JC2" s="22"/>
      <c r="JD2" s="1022"/>
      <c r="JE2" s="1022"/>
      <c r="JF2" s="1022"/>
      <c r="JG2" s="1022"/>
      <c r="JH2" s="1022"/>
      <c r="JI2" s="1022"/>
      <c r="JJ2" s="1022"/>
      <c r="JK2" s="1022"/>
      <c r="JL2" s="1022"/>
      <c r="JM2" s="1022"/>
      <c r="JO2" s="23"/>
      <c r="JQ2" s="1021"/>
      <c r="JR2" s="1021"/>
      <c r="JS2" s="1021"/>
      <c r="JT2" s="1021"/>
      <c r="JU2" s="1021"/>
      <c r="JV2" s="1021"/>
      <c r="JW2" s="1021"/>
      <c r="JX2" s="1021"/>
      <c r="JY2" s="1021"/>
      <c r="JZ2" s="1021"/>
      <c r="KA2" s="1021"/>
      <c r="KB2" s="1021"/>
      <c r="KC2" s="1021"/>
      <c r="KD2" s="1021"/>
      <c r="KE2" s="24"/>
      <c r="KF2" s="25"/>
      <c r="KG2" s="24"/>
      <c r="KH2" s="1025"/>
      <c r="KI2" s="1025"/>
      <c r="KJ2" s="1025"/>
      <c r="KK2" s="1025"/>
      <c r="KL2" s="1025"/>
      <c r="KM2" s="1025"/>
      <c r="KN2" s="1025"/>
      <c r="KO2" s="1025"/>
      <c r="KP2" s="1025"/>
      <c r="KQ2" s="1025"/>
      <c r="KR2" s="1025"/>
      <c r="KS2" s="1025"/>
      <c r="KT2" s="1025"/>
      <c r="KU2" s="1025"/>
      <c r="KV2" s="1025"/>
      <c r="KW2" s="1025"/>
      <c r="KX2" s="1025"/>
      <c r="KY2" s="1025"/>
      <c r="KZ2" s="1025"/>
      <c r="LA2" s="1025"/>
      <c r="LB2" s="1025"/>
      <c r="LC2" s="1025"/>
      <c r="LD2" s="26"/>
      <c r="LE2" s="27"/>
      <c r="LG2" s="1021"/>
      <c r="LH2" s="1021"/>
      <c r="LI2" s="1021"/>
      <c r="LJ2" s="1021"/>
      <c r="LK2" s="1021"/>
      <c r="LL2" s="1021"/>
      <c r="LM2" s="1021"/>
      <c r="LN2" s="1021"/>
      <c r="LO2" s="1021"/>
      <c r="LP2" s="1021"/>
      <c r="LQ2" s="1021"/>
      <c r="LS2" s="28"/>
      <c r="LT2" s="15"/>
      <c r="LU2" s="1021"/>
      <c r="LV2" s="1021"/>
      <c r="LW2" s="1021"/>
      <c r="LX2" s="2"/>
      <c r="LY2" s="3"/>
      <c r="LZ2" s="2"/>
      <c r="MA2" s="1014"/>
      <c r="MB2" s="1014"/>
      <c r="MC2" s="1014"/>
      <c r="MD2" s="1014"/>
      <c r="ME2" s="1014"/>
      <c r="MF2" s="1014"/>
      <c r="MG2" s="1014"/>
      <c r="MI2" s="28"/>
      <c r="MJ2" s="15"/>
      <c r="MK2" s="1015"/>
      <c r="ML2" s="1015"/>
      <c r="MM2" s="1015"/>
      <c r="MN2" s="1015"/>
      <c r="MO2" s="1015"/>
      <c r="MP2" s="1015"/>
      <c r="MR2" s="28"/>
      <c r="MS2" s="15"/>
    </row>
    <row r="3" spans="1:405" ht="18" customHeight="1" x14ac:dyDescent="0.3">
      <c r="A3" s="8"/>
      <c r="B3" s="633"/>
      <c r="C3" s="633"/>
      <c r="D3" s="633"/>
      <c r="E3" s="633"/>
      <c r="F3" s="1016" t="s">
        <v>23</v>
      </c>
      <c r="G3" s="1017"/>
      <c r="H3" s="1016" t="s">
        <v>24</v>
      </c>
      <c r="I3" s="1018"/>
      <c r="J3" s="1017"/>
      <c r="K3" s="1016" t="s">
        <v>25</v>
      </c>
      <c r="L3" s="1018"/>
      <c r="M3" s="1017"/>
      <c r="N3" s="1016" t="s">
        <v>26</v>
      </c>
      <c r="O3" s="1018"/>
      <c r="P3" s="1017"/>
      <c r="Q3" s="1016" t="s">
        <v>27</v>
      </c>
      <c r="R3" s="1018"/>
      <c r="S3" s="30"/>
      <c r="T3" s="31"/>
      <c r="U3" s="32"/>
      <c r="V3" s="634"/>
      <c r="W3" s="634"/>
      <c r="X3" s="634"/>
      <c r="Y3" s="634"/>
      <c r="Z3" s="634"/>
      <c r="AA3" s="634"/>
      <c r="AF3" s="634"/>
      <c r="AG3" s="634"/>
      <c r="AH3" s="634"/>
      <c r="AI3" s="634"/>
      <c r="AJ3" s="634"/>
      <c r="AK3" s="34"/>
      <c r="AN3" s="635"/>
      <c r="AO3" s="636"/>
      <c r="AP3" s="637"/>
      <c r="AQ3" s="636"/>
      <c r="AR3" s="638"/>
      <c r="AS3" s="1023" t="s">
        <v>28</v>
      </c>
      <c r="AT3" s="1024"/>
      <c r="AU3" s="636"/>
      <c r="AV3" s="1023" t="s">
        <v>29</v>
      </c>
      <c r="AW3" s="1024"/>
      <c r="AX3" s="1024"/>
      <c r="AY3" s="636"/>
      <c r="AZ3" s="1023" t="s">
        <v>30</v>
      </c>
      <c r="BA3" s="1024"/>
      <c r="BB3" s="1024"/>
      <c r="BC3" s="636"/>
      <c r="BD3" s="1023" t="s">
        <v>31</v>
      </c>
      <c r="BE3" s="1024"/>
      <c r="BF3" s="1024"/>
      <c r="BG3" s="636"/>
      <c r="BH3" s="1023" t="s">
        <v>32</v>
      </c>
      <c r="BI3" s="1024"/>
      <c r="BJ3" s="1024"/>
      <c r="BK3" s="636"/>
      <c r="BL3" s="1023" t="s">
        <v>33</v>
      </c>
      <c r="BM3" s="1024"/>
      <c r="BN3" s="1024"/>
      <c r="BO3" s="636"/>
      <c r="BP3" s="1023" t="s">
        <v>34</v>
      </c>
      <c r="BQ3" s="1024"/>
      <c r="BR3" s="1024"/>
      <c r="BS3" s="636"/>
      <c r="BT3" s="1023" t="s">
        <v>35</v>
      </c>
      <c r="BU3" s="1024"/>
      <c r="BV3" s="1024"/>
      <c r="BW3" s="1024" t="s">
        <v>36</v>
      </c>
      <c r="BX3" s="1024"/>
      <c r="BY3" s="1024"/>
      <c r="BZ3" s="1023" t="s">
        <v>37</v>
      </c>
      <c r="CA3" s="1024"/>
      <c r="CB3" s="1031"/>
      <c r="CC3" s="1023" t="s">
        <v>38</v>
      </c>
      <c r="CD3" s="1024"/>
      <c r="CE3" s="1031"/>
      <c r="CF3" s="1023" t="s">
        <v>23</v>
      </c>
      <c r="CG3" s="1024"/>
      <c r="CH3" s="1031"/>
      <c r="CI3" s="1026" t="s">
        <v>39</v>
      </c>
      <c r="CJ3" s="1027"/>
      <c r="CN3" s="639"/>
      <c r="CO3" s="640"/>
      <c r="CP3" s="1028" t="str">
        <f>F3</f>
        <v>2023 Fiscal Year As Accepted</v>
      </c>
      <c r="CQ3" s="1029"/>
      <c r="CR3" s="1029"/>
      <c r="CS3" s="1030"/>
      <c r="CT3" s="1028" t="str">
        <f>H3</f>
        <v>2023 Fiscal Year As Adjusted</v>
      </c>
      <c r="CU3" s="1029"/>
      <c r="CV3" s="1029"/>
      <c r="CW3" s="1030"/>
      <c r="CX3" s="11"/>
      <c r="DA3" s="636"/>
      <c r="DB3" s="641"/>
      <c r="DC3" s="1028" t="str">
        <f>CP3</f>
        <v>2023 Fiscal Year As Accepted</v>
      </c>
      <c r="DD3" s="1030"/>
      <c r="DE3" s="1028" t="str">
        <f>CT3</f>
        <v>2023 Fiscal Year As Adjusted</v>
      </c>
      <c r="DF3" s="1029"/>
      <c r="DG3" s="1030"/>
      <c r="DK3" s="642"/>
      <c r="DL3" s="643"/>
      <c r="DM3" s="1028" t="str">
        <f>DC3</f>
        <v>2023 Fiscal Year As Accepted</v>
      </c>
      <c r="DN3" s="1030"/>
      <c r="DO3" s="1028" t="str">
        <f>DE3</f>
        <v>2023 Fiscal Year As Adjusted</v>
      </c>
      <c r="DP3" s="1030"/>
      <c r="DT3" s="636"/>
      <c r="DU3" s="644"/>
      <c r="DV3" s="1024" t="str">
        <f>DC3</f>
        <v>2023 Fiscal Year As Accepted</v>
      </c>
      <c r="DW3" s="1024"/>
      <c r="DX3" s="1024"/>
      <c r="DY3" s="1024"/>
      <c r="DZ3" s="1023" t="str">
        <f>DE3</f>
        <v>2023 Fiscal Year As Adjusted</v>
      </c>
      <c r="EA3" s="1024"/>
      <c r="EB3" s="1024"/>
      <c r="EC3" s="1031"/>
      <c r="EE3" s="39"/>
      <c r="EG3" s="36"/>
      <c r="EH3" s="36"/>
      <c r="EI3" s="1038" t="str">
        <f>DV3</f>
        <v>2023 Fiscal Year As Accepted</v>
      </c>
      <c r="EJ3" s="1032"/>
      <c r="EK3" s="1032"/>
      <c r="EL3" s="1033"/>
      <c r="EM3" s="1038" t="str">
        <f>DZ3</f>
        <v>2023 Fiscal Year As Adjusted</v>
      </c>
      <c r="EN3" s="1032"/>
      <c r="EO3" s="1032"/>
      <c r="EP3" s="1033"/>
      <c r="EQ3" s="11"/>
      <c r="ER3" s="40"/>
      <c r="ET3" s="36"/>
      <c r="EU3" s="37"/>
      <c r="EV3" s="1032" t="str">
        <f>EI3</f>
        <v>2023 Fiscal Year As Accepted</v>
      </c>
      <c r="EW3" s="1032"/>
      <c r="EX3" s="1032"/>
      <c r="EY3" s="1033"/>
      <c r="EZ3" s="1032" t="str">
        <f>EM3</f>
        <v>2023 Fiscal Year As Adjusted</v>
      </c>
      <c r="FA3" s="1032"/>
      <c r="FB3" s="1032"/>
      <c r="FC3" s="1033"/>
      <c r="FD3" s="1032" t="s">
        <v>40</v>
      </c>
      <c r="FE3" s="1032"/>
      <c r="FF3" s="1033"/>
      <c r="FG3" s="11"/>
      <c r="FH3" s="40"/>
      <c r="FJ3" s="36"/>
      <c r="FK3" s="36"/>
      <c r="FL3" s="36"/>
      <c r="FM3" s="1034" t="str">
        <f>EI3</f>
        <v>2023 Fiscal Year As Accepted</v>
      </c>
      <c r="FN3" s="1035"/>
      <c r="FO3" s="1035"/>
      <c r="FP3" s="1036"/>
      <c r="FQ3" s="1034" t="str">
        <f>EM3</f>
        <v>2023 Fiscal Year As Adjusted</v>
      </c>
      <c r="FR3" s="1035"/>
      <c r="FS3" s="1035"/>
      <c r="FT3" s="1035"/>
      <c r="FU3" s="1036"/>
      <c r="FV3" s="14"/>
      <c r="FW3" s="21"/>
      <c r="FY3" s="35"/>
      <c r="FZ3" s="36"/>
      <c r="GA3" s="1034" t="str">
        <f>FM3</f>
        <v>2023 Fiscal Year As Accepted</v>
      </c>
      <c r="GB3" s="1035"/>
      <c r="GC3" s="1035"/>
      <c r="GD3" s="1036"/>
      <c r="GE3" s="1037" t="str">
        <f>FQ3</f>
        <v>2023 Fiscal Year As Adjusted</v>
      </c>
      <c r="GF3" s="1035"/>
      <c r="GG3" s="1035"/>
      <c r="GH3" s="1036"/>
      <c r="GI3" s="11"/>
      <c r="GJ3" s="42"/>
      <c r="GL3" s="36"/>
      <c r="GM3" s="36"/>
      <c r="GN3" s="1043" t="str">
        <f>GA3</f>
        <v>2023 Fiscal Year As Accepted</v>
      </c>
      <c r="GO3" s="1044"/>
      <c r="GP3" s="1044"/>
      <c r="GQ3" s="1045"/>
      <c r="GR3" s="1043" t="str">
        <f>GE3</f>
        <v>2023 Fiscal Year As Adjusted</v>
      </c>
      <c r="GS3" s="1044"/>
      <c r="GT3" s="1044"/>
      <c r="GU3" s="1045"/>
      <c r="GY3" s="11"/>
      <c r="GZ3" s="43"/>
      <c r="HA3" s="44"/>
      <c r="HB3" s="44"/>
      <c r="HC3" s="44"/>
      <c r="HD3" s="44"/>
      <c r="HE3" s="44"/>
      <c r="HF3" s="45"/>
      <c r="HG3" s="44"/>
      <c r="HH3" s="44"/>
      <c r="HI3" s="44"/>
      <c r="HJ3" s="44"/>
      <c r="HK3" s="46"/>
      <c r="HM3" s="46"/>
      <c r="HN3" s="41"/>
      <c r="HO3" s="47"/>
      <c r="HP3" s="47"/>
      <c r="HQ3" s="1039" t="s">
        <v>41</v>
      </c>
      <c r="HR3" s="1046"/>
      <c r="HS3" s="1039" t="s">
        <v>42</v>
      </c>
      <c r="HT3" s="1046"/>
      <c r="HU3" s="1039" t="s">
        <v>43</v>
      </c>
      <c r="HV3" s="1046"/>
      <c r="HW3" s="1039" t="s">
        <v>44</v>
      </c>
      <c r="HX3" s="1046"/>
      <c r="HY3" s="1039" t="s">
        <v>45</v>
      </c>
      <c r="HZ3" s="1040"/>
      <c r="IA3" s="24"/>
      <c r="IB3" s="25"/>
      <c r="IC3" s="24"/>
      <c r="ID3" s="36"/>
      <c r="IE3" s="48"/>
      <c r="IF3" s="48"/>
      <c r="IG3" s="48"/>
      <c r="IH3" s="1041" t="s">
        <v>46</v>
      </c>
      <c r="II3" s="1042"/>
      <c r="IJ3" s="1041" t="s">
        <v>47</v>
      </c>
      <c r="IK3" s="1042"/>
      <c r="IL3" s="1041" t="s">
        <v>48</v>
      </c>
      <c r="IM3" s="1042"/>
      <c r="IN3" s="1041" t="s">
        <v>49</v>
      </c>
      <c r="IO3" s="1042"/>
      <c r="IP3" s="1041" t="s">
        <v>50</v>
      </c>
      <c r="IQ3" s="1042"/>
      <c r="IR3" s="1041" t="s">
        <v>51</v>
      </c>
      <c r="IS3" s="1042"/>
      <c r="IT3" s="1041" t="s">
        <v>52</v>
      </c>
      <c r="IU3" s="1042"/>
      <c r="IV3" s="1041" t="s">
        <v>53</v>
      </c>
      <c r="IW3" s="1042"/>
      <c r="IX3" s="1041" t="s">
        <v>54</v>
      </c>
      <c r="IY3" s="1049"/>
      <c r="IZ3" s="1049"/>
      <c r="JA3" s="46"/>
      <c r="JB3" s="49"/>
      <c r="JC3" s="22"/>
      <c r="JD3" s="50"/>
      <c r="JE3" s="51"/>
      <c r="JF3" s="51"/>
      <c r="JG3" s="51"/>
      <c r="JH3" s="51"/>
      <c r="JI3" s="51"/>
      <c r="JJ3" s="51"/>
      <c r="JK3" s="51"/>
      <c r="JL3" s="51"/>
      <c r="JM3" s="51"/>
      <c r="JN3" s="24"/>
      <c r="JO3" s="25"/>
      <c r="JP3" s="52"/>
      <c r="JQ3" s="53"/>
      <c r="JR3" s="47"/>
      <c r="JS3" s="47"/>
      <c r="JT3" s="54"/>
      <c r="JU3" s="1039" t="s">
        <v>41</v>
      </c>
      <c r="JV3" s="1046"/>
      <c r="JW3" s="1039" t="s">
        <v>42</v>
      </c>
      <c r="JX3" s="1046"/>
      <c r="JY3" s="1039" t="s">
        <v>55</v>
      </c>
      <c r="JZ3" s="1046"/>
      <c r="KA3" s="1039" t="s">
        <v>56</v>
      </c>
      <c r="KB3" s="1046"/>
      <c r="KC3" s="1039" t="s">
        <v>45</v>
      </c>
      <c r="KD3" s="1040"/>
      <c r="KE3" s="52"/>
      <c r="KF3" s="55"/>
      <c r="KG3" s="52"/>
      <c r="KH3" s="56"/>
      <c r="KI3" s="47"/>
      <c r="KJ3" s="47"/>
      <c r="KK3" s="47"/>
      <c r="KL3" s="1039" t="s">
        <v>46</v>
      </c>
      <c r="KM3" s="1046"/>
      <c r="KN3" s="1039" t="s">
        <v>57</v>
      </c>
      <c r="KO3" s="1046"/>
      <c r="KP3" s="1039" t="s">
        <v>48</v>
      </c>
      <c r="KQ3" s="1046"/>
      <c r="KR3" s="1039" t="s">
        <v>49</v>
      </c>
      <c r="KS3" s="1046"/>
      <c r="KT3" s="1039" t="s">
        <v>50</v>
      </c>
      <c r="KU3" s="1046"/>
      <c r="KV3" s="1039" t="s">
        <v>51</v>
      </c>
      <c r="KW3" s="1046"/>
      <c r="KX3" s="1039" t="s">
        <v>52</v>
      </c>
      <c r="KY3" s="1046"/>
      <c r="KZ3" s="1039" t="s">
        <v>53</v>
      </c>
      <c r="LA3" s="1046"/>
      <c r="LB3" s="1039" t="s">
        <v>58</v>
      </c>
      <c r="LC3" s="1040"/>
      <c r="LD3" s="22"/>
      <c r="LE3" s="57"/>
      <c r="LG3" s="36"/>
      <c r="LH3" s="38"/>
      <c r="LI3" s="1039" t="s">
        <v>45</v>
      </c>
      <c r="LJ3" s="1040"/>
      <c r="LK3" s="1046"/>
      <c r="LL3" s="1039" t="s">
        <v>59</v>
      </c>
      <c r="LM3" s="1040"/>
      <c r="LN3" s="1046"/>
      <c r="LO3" s="1039" t="s">
        <v>60</v>
      </c>
      <c r="LP3" s="1040"/>
      <c r="LQ3" s="1046"/>
      <c r="LS3" s="21"/>
      <c r="LT3" s="14"/>
      <c r="LU3" s="58"/>
      <c r="LV3" s="58"/>
      <c r="LW3" s="58"/>
      <c r="LX3" s="14"/>
      <c r="LY3" s="21"/>
      <c r="LZ3" s="14"/>
      <c r="MA3" s="59"/>
      <c r="MB3" s="59"/>
      <c r="MC3" s="33"/>
      <c r="MD3" s="33"/>
      <c r="ME3" s="33"/>
      <c r="MF3" s="33"/>
      <c r="MG3" s="33"/>
      <c r="MI3" s="21"/>
      <c r="MJ3" s="14"/>
      <c r="MK3" s="59"/>
      <c r="ML3" s="33"/>
      <c r="MM3" s="33"/>
      <c r="MN3" s="33"/>
      <c r="MO3" s="33"/>
      <c r="MP3" s="33"/>
      <c r="MR3" s="21"/>
      <c r="MS3" s="14"/>
    </row>
    <row r="4" spans="1:405" s="68" customFormat="1" ht="53.1" customHeight="1" x14ac:dyDescent="0.25">
      <c r="A4" s="60"/>
      <c r="B4" s="61"/>
      <c r="C4" s="62"/>
      <c r="D4" s="62"/>
      <c r="E4" s="62"/>
      <c r="F4" s="63" t="s">
        <v>61</v>
      </c>
      <c r="G4" s="64" t="s">
        <v>62</v>
      </c>
      <c r="H4" s="63" t="s">
        <v>61</v>
      </c>
      <c r="I4" s="65" t="s">
        <v>62</v>
      </c>
      <c r="J4" s="64" t="s">
        <v>63</v>
      </c>
      <c r="K4" s="63" t="s">
        <v>61</v>
      </c>
      <c r="L4" s="65" t="s">
        <v>62</v>
      </c>
      <c r="M4" s="64" t="s">
        <v>64</v>
      </c>
      <c r="N4" s="63" t="s">
        <v>61</v>
      </c>
      <c r="O4" s="65" t="s">
        <v>62</v>
      </c>
      <c r="P4" s="64" t="s">
        <v>65</v>
      </c>
      <c r="Q4" s="66" t="s">
        <v>66</v>
      </c>
      <c r="R4" s="65" t="s">
        <v>67</v>
      </c>
      <c r="S4" s="46"/>
      <c r="T4" s="67"/>
      <c r="V4" s="69"/>
      <c r="W4" s="69"/>
      <c r="X4" s="70" t="s">
        <v>68</v>
      </c>
      <c r="Y4" s="70" t="s">
        <v>69</v>
      </c>
      <c r="Z4" s="70" t="s">
        <v>70</v>
      </c>
      <c r="AA4" s="70" t="s">
        <v>71</v>
      </c>
      <c r="AB4" s="71"/>
      <c r="AC4" s="60"/>
      <c r="AD4" s="72"/>
      <c r="AE4" s="60"/>
      <c r="AF4" s="62"/>
      <c r="AG4" s="62"/>
      <c r="AH4" s="61" t="str">
        <f>D14</f>
        <v>Direct Labour</v>
      </c>
      <c r="AI4" s="61" t="str">
        <f>D15</f>
        <v>Collector Labour</v>
      </c>
      <c r="AJ4" s="61" t="str">
        <f>D16</f>
        <v>Overhead Labour</v>
      </c>
      <c r="AL4" s="67"/>
      <c r="AM4" s="60"/>
      <c r="AN4" s="70"/>
      <c r="AO4" s="73"/>
      <c r="AP4" s="73"/>
      <c r="AQ4" s="73"/>
      <c r="AR4" s="73"/>
      <c r="AS4" s="74" t="s">
        <v>61</v>
      </c>
      <c r="AT4" s="75" t="s">
        <v>72</v>
      </c>
      <c r="AU4" s="70"/>
      <c r="AV4" s="74" t="s">
        <v>61</v>
      </c>
      <c r="AW4" s="75" t="s">
        <v>72</v>
      </c>
      <c r="AX4" s="75" t="s">
        <v>73</v>
      </c>
      <c r="AY4" s="70"/>
      <c r="AZ4" s="74" t="s">
        <v>61</v>
      </c>
      <c r="BA4" s="75" t="s">
        <v>72</v>
      </c>
      <c r="BB4" s="75" t="s">
        <v>73</v>
      </c>
      <c r="BC4" s="70"/>
      <c r="BD4" s="74" t="s">
        <v>61</v>
      </c>
      <c r="BE4" s="75" t="s">
        <v>72</v>
      </c>
      <c r="BF4" s="75" t="s">
        <v>73</v>
      </c>
      <c r="BG4" s="70"/>
      <c r="BH4" s="74" t="s">
        <v>61</v>
      </c>
      <c r="BI4" s="75" t="s">
        <v>72</v>
      </c>
      <c r="BJ4" s="75" t="s">
        <v>73</v>
      </c>
      <c r="BK4" s="70"/>
      <c r="BL4" s="74" t="s">
        <v>61</v>
      </c>
      <c r="BM4" s="75" t="s">
        <v>72</v>
      </c>
      <c r="BN4" s="75" t="s">
        <v>73</v>
      </c>
      <c r="BO4" s="70"/>
      <c r="BP4" s="74" t="s">
        <v>61</v>
      </c>
      <c r="BQ4" s="75" t="s">
        <v>72</v>
      </c>
      <c r="BR4" s="75" t="s">
        <v>73</v>
      </c>
      <c r="BS4" s="70"/>
      <c r="BT4" s="74" t="s">
        <v>61</v>
      </c>
      <c r="BU4" s="75" t="s">
        <v>72</v>
      </c>
      <c r="BV4" s="75" t="s">
        <v>74</v>
      </c>
      <c r="BW4" s="74" t="s">
        <v>61</v>
      </c>
      <c r="BX4" s="75" t="s">
        <v>72</v>
      </c>
      <c r="BY4" s="75" t="s">
        <v>74</v>
      </c>
      <c r="BZ4" s="74" t="s">
        <v>61</v>
      </c>
      <c r="CA4" s="75" t="s">
        <v>72</v>
      </c>
      <c r="CB4" s="75" t="s">
        <v>74</v>
      </c>
      <c r="CC4" s="74" t="s">
        <v>61</v>
      </c>
      <c r="CD4" s="75" t="s">
        <v>72</v>
      </c>
      <c r="CE4" s="75" t="s">
        <v>74</v>
      </c>
      <c r="CF4" s="74" t="s">
        <v>61</v>
      </c>
      <c r="CG4" s="75" t="s">
        <v>72</v>
      </c>
      <c r="CH4" s="75" t="s">
        <v>74</v>
      </c>
      <c r="CI4" s="76" t="s">
        <v>75</v>
      </c>
      <c r="CJ4" s="75" t="s">
        <v>76</v>
      </c>
      <c r="CK4" s="60"/>
      <c r="CL4" s="72"/>
      <c r="CM4" s="60"/>
      <c r="CN4" s="77"/>
      <c r="CO4" s="78"/>
      <c r="CP4" s="79" t="s">
        <v>77</v>
      </c>
      <c r="CQ4" s="80" t="s">
        <v>78</v>
      </c>
      <c r="CR4" s="61" t="s">
        <v>79</v>
      </c>
      <c r="CS4" s="81" t="s">
        <v>71</v>
      </c>
      <c r="CT4" s="79" t="s">
        <v>77</v>
      </c>
      <c r="CU4" s="80" t="s">
        <v>78</v>
      </c>
      <c r="CV4" s="61" t="s">
        <v>79</v>
      </c>
      <c r="CW4" s="81" t="s">
        <v>71</v>
      </c>
      <c r="CX4" s="82"/>
      <c r="CY4" s="72"/>
      <c r="CZ4" s="60"/>
      <c r="DA4" s="61"/>
      <c r="DB4" s="80" t="s">
        <v>80</v>
      </c>
      <c r="DC4" s="79" t="s">
        <v>81</v>
      </c>
      <c r="DD4" s="83" t="s">
        <v>82</v>
      </c>
      <c r="DE4" s="79" t="s">
        <v>81</v>
      </c>
      <c r="DF4" s="84" t="s">
        <v>82</v>
      </c>
      <c r="DG4" s="85" t="s">
        <v>83</v>
      </c>
      <c r="DH4" s="60"/>
      <c r="DI4" s="72"/>
      <c r="DJ4" s="60"/>
      <c r="DK4" s="61"/>
      <c r="DL4" s="86" t="s">
        <v>80</v>
      </c>
      <c r="DM4" s="79" t="s">
        <v>81</v>
      </c>
      <c r="DN4" s="83" t="s">
        <v>82</v>
      </c>
      <c r="DO4" s="79" t="s">
        <v>81</v>
      </c>
      <c r="DP4" s="83" t="s">
        <v>82</v>
      </c>
      <c r="DQ4" s="60"/>
      <c r="DR4" s="72"/>
      <c r="DS4" s="60"/>
      <c r="DT4" s="61"/>
      <c r="DU4" s="87"/>
      <c r="DV4" s="61" t="s">
        <v>68</v>
      </c>
      <c r="DW4" s="61" t="s">
        <v>69</v>
      </c>
      <c r="DX4" s="61" t="s">
        <v>70</v>
      </c>
      <c r="DY4" s="88" t="s">
        <v>71</v>
      </c>
      <c r="DZ4" s="79" t="s">
        <v>68</v>
      </c>
      <c r="EA4" s="61" t="s">
        <v>69</v>
      </c>
      <c r="EB4" s="61" t="s">
        <v>70</v>
      </c>
      <c r="EC4" s="89" t="s">
        <v>71</v>
      </c>
      <c r="ED4" s="90"/>
      <c r="EE4" s="72"/>
      <c r="EF4" s="60"/>
      <c r="EG4" s="62"/>
      <c r="EH4" s="62"/>
      <c r="EI4" s="91" t="s">
        <v>68</v>
      </c>
      <c r="EJ4" s="92" t="s">
        <v>69</v>
      </c>
      <c r="EK4" s="92" t="s">
        <v>70</v>
      </c>
      <c r="EL4" s="93" t="s">
        <v>71</v>
      </c>
      <c r="EM4" s="91" t="s">
        <v>68</v>
      </c>
      <c r="EN4" s="92" t="s">
        <v>69</v>
      </c>
      <c r="EO4" s="92" t="s">
        <v>70</v>
      </c>
      <c r="EP4" s="93" t="s">
        <v>71</v>
      </c>
      <c r="EQ4" s="94"/>
      <c r="ER4" s="95"/>
      <c r="ES4" s="60"/>
      <c r="ET4" s="62"/>
      <c r="EU4" s="96"/>
      <c r="EV4" s="92" t="s">
        <v>68</v>
      </c>
      <c r="EW4" s="92" t="s">
        <v>69</v>
      </c>
      <c r="EX4" s="92" t="s">
        <v>70</v>
      </c>
      <c r="EY4" s="93" t="s">
        <v>71</v>
      </c>
      <c r="EZ4" s="92" t="s">
        <v>68</v>
      </c>
      <c r="FA4" s="92" t="s">
        <v>69</v>
      </c>
      <c r="FB4" s="92" t="s">
        <v>70</v>
      </c>
      <c r="FC4" s="93" t="s">
        <v>71</v>
      </c>
      <c r="FD4" s="97" t="s">
        <v>84</v>
      </c>
      <c r="FE4" s="97" t="s">
        <v>85</v>
      </c>
      <c r="FF4" s="98" t="s">
        <v>86</v>
      </c>
      <c r="FG4" s="94"/>
      <c r="FH4" s="95"/>
      <c r="FI4" s="60"/>
      <c r="FJ4" s="73"/>
      <c r="FK4" s="73"/>
      <c r="FL4" s="99"/>
      <c r="FM4" s="79" t="s">
        <v>68</v>
      </c>
      <c r="FN4" s="61" t="s">
        <v>69</v>
      </c>
      <c r="FO4" s="61" t="s">
        <v>70</v>
      </c>
      <c r="FP4" s="100" t="s">
        <v>71</v>
      </c>
      <c r="FQ4" s="79" t="str">
        <f>FM4</f>
        <v>Small</v>
      </c>
      <c r="FR4" s="61" t="s">
        <v>69</v>
      </c>
      <c r="FS4" s="61" t="str">
        <f>FO4</f>
        <v>Large</v>
      </c>
      <c r="FT4" s="61" t="s">
        <v>71</v>
      </c>
      <c r="FU4" s="81" t="s">
        <v>87</v>
      </c>
      <c r="FV4" s="101"/>
      <c r="FW4" s="102"/>
      <c r="FX4" s="60"/>
      <c r="FY4" s="70"/>
      <c r="FZ4" s="103"/>
      <c r="GA4" s="61" t="s">
        <v>68</v>
      </c>
      <c r="GB4" s="61" t="s">
        <v>69</v>
      </c>
      <c r="GC4" s="61" t="s">
        <v>70</v>
      </c>
      <c r="GD4" s="100" t="s">
        <v>88</v>
      </c>
      <c r="GE4" s="79" t="s">
        <v>68</v>
      </c>
      <c r="GF4" s="61" t="s">
        <v>69</v>
      </c>
      <c r="GG4" s="61" t="s">
        <v>70</v>
      </c>
      <c r="GH4" s="100" t="s">
        <v>88</v>
      </c>
      <c r="GI4" s="104"/>
      <c r="GJ4" s="105"/>
      <c r="GK4" s="60"/>
      <c r="GL4" s="70"/>
      <c r="GM4" s="99"/>
      <c r="GN4" s="79" t="s">
        <v>68</v>
      </c>
      <c r="GO4" s="61" t="s">
        <v>69</v>
      </c>
      <c r="GP4" s="61" t="s">
        <v>70</v>
      </c>
      <c r="GQ4" s="100" t="s">
        <v>71</v>
      </c>
      <c r="GR4" s="79" t="s">
        <v>68</v>
      </c>
      <c r="GS4" s="61" t="s">
        <v>69</v>
      </c>
      <c r="GT4" s="61" t="s">
        <v>70</v>
      </c>
      <c r="GU4" s="100" t="s">
        <v>71</v>
      </c>
      <c r="GV4" s="60"/>
      <c r="GW4" s="72"/>
      <c r="GX4" s="60"/>
      <c r="GY4" s="60"/>
      <c r="GZ4" s="106"/>
      <c r="HA4" s="75" t="s">
        <v>89</v>
      </c>
      <c r="HB4" s="75" t="s">
        <v>90</v>
      </c>
      <c r="HC4" s="75" t="s">
        <v>91</v>
      </c>
      <c r="HD4" s="107" t="s">
        <v>92</v>
      </c>
      <c r="HE4" s="108" t="s">
        <v>93</v>
      </c>
      <c r="HF4" s="108" t="s">
        <v>94</v>
      </c>
      <c r="HG4" s="108" t="s">
        <v>95</v>
      </c>
      <c r="HH4" s="108" t="s">
        <v>96</v>
      </c>
      <c r="HI4" s="108" t="s">
        <v>97</v>
      </c>
      <c r="HJ4" s="108" t="s">
        <v>98</v>
      </c>
      <c r="HK4" s="52"/>
      <c r="HL4" s="102"/>
      <c r="HM4" s="52"/>
      <c r="HN4" s="75"/>
      <c r="HO4" s="109" t="s">
        <v>89</v>
      </c>
      <c r="HP4" s="110" t="str">
        <f>HG4</f>
        <v>Volume Ratio</v>
      </c>
      <c r="HQ4" s="111" t="s">
        <v>99</v>
      </c>
      <c r="HR4" s="85" t="s">
        <v>100</v>
      </c>
      <c r="HS4" s="111" t="str">
        <f>IT4</f>
        <v>Study System</v>
      </c>
      <c r="HT4" s="85" t="s">
        <v>101</v>
      </c>
      <c r="HU4" s="111" t="str">
        <f>HS4</f>
        <v>Study System</v>
      </c>
      <c r="HV4" s="85" t="s">
        <v>101</v>
      </c>
      <c r="HW4" s="111" t="str">
        <f>HU4</f>
        <v>Study System</v>
      </c>
      <c r="HX4" s="85" t="s">
        <v>101</v>
      </c>
      <c r="HY4" s="111" t="s">
        <v>102</v>
      </c>
      <c r="HZ4" s="112" t="s">
        <v>103</v>
      </c>
      <c r="IA4" s="113"/>
      <c r="IB4" s="114"/>
      <c r="IC4" s="113"/>
      <c r="ID4" s="87"/>
      <c r="IE4" s="115" t="s">
        <v>89</v>
      </c>
      <c r="IF4" s="116" t="s">
        <v>94</v>
      </c>
      <c r="IG4" s="116" t="s">
        <v>95</v>
      </c>
      <c r="IH4" s="87" t="str">
        <f>HQ4</f>
        <v>Study System</v>
      </c>
      <c r="II4" s="117" t="s">
        <v>104</v>
      </c>
      <c r="IJ4" s="118" t="str">
        <f>IH4</f>
        <v>Study System</v>
      </c>
      <c r="IK4" s="117" t="s">
        <v>105</v>
      </c>
      <c r="IL4" s="118" t="str">
        <f>IH4</f>
        <v>Study System</v>
      </c>
      <c r="IM4" s="117" t="s">
        <v>106</v>
      </c>
      <c r="IN4" s="118" t="str">
        <f>IL4</f>
        <v>Study System</v>
      </c>
      <c r="IO4" s="117" t="s">
        <v>107</v>
      </c>
      <c r="IP4" s="118" t="str">
        <f>IN4</f>
        <v>Study System</v>
      </c>
      <c r="IQ4" s="117" t="s">
        <v>108</v>
      </c>
      <c r="IR4" s="118" t="str">
        <f>IP4</f>
        <v>Study System</v>
      </c>
      <c r="IS4" s="117" t="s">
        <v>109</v>
      </c>
      <c r="IT4" s="118" t="str">
        <f>IN4</f>
        <v>Study System</v>
      </c>
      <c r="IU4" s="117" t="s">
        <v>110</v>
      </c>
      <c r="IV4" s="118" t="str">
        <f>IT4</f>
        <v>Study System</v>
      </c>
      <c r="IW4" s="117" t="s">
        <v>111</v>
      </c>
      <c r="IX4" s="118" t="s">
        <v>112</v>
      </c>
      <c r="IY4" s="119" t="s">
        <v>113</v>
      </c>
      <c r="IZ4" s="119" t="s">
        <v>114</v>
      </c>
      <c r="JA4" s="113"/>
      <c r="JB4" s="114"/>
      <c r="JC4" s="120"/>
      <c r="JD4" s="121"/>
      <c r="JE4" s="65" t="s">
        <v>89</v>
      </c>
      <c r="JF4" s="122" t="s">
        <v>115</v>
      </c>
      <c r="JG4" s="122" t="s">
        <v>116</v>
      </c>
      <c r="JH4" s="122" t="s">
        <v>117</v>
      </c>
      <c r="JI4" s="122" t="s">
        <v>118</v>
      </c>
      <c r="JJ4" s="122" t="s">
        <v>94</v>
      </c>
      <c r="JK4" s="122" t="s">
        <v>95</v>
      </c>
      <c r="JL4" s="65" t="s">
        <v>119</v>
      </c>
      <c r="JM4" s="122" t="s">
        <v>120</v>
      </c>
      <c r="JN4" s="52"/>
      <c r="JO4" s="55"/>
      <c r="JP4" s="123"/>
      <c r="JQ4" s="75"/>
      <c r="JR4" s="76" t="s">
        <v>89</v>
      </c>
      <c r="JS4" s="110" t="str">
        <f>JM4</f>
        <v>FY Quarter</v>
      </c>
      <c r="JT4" s="110" t="str">
        <f>JL4</f>
        <v>Total System Ratio</v>
      </c>
      <c r="JU4" s="111" t="s">
        <v>25</v>
      </c>
      <c r="JV4" s="85" t="s">
        <v>121</v>
      </c>
      <c r="JW4" s="111" t="s">
        <v>25</v>
      </c>
      <c r="JX4" s="85" t="str">
        <f>KY4</f>
        <v>Target Year</v>
      </c>
      <c r="JY4" s="111" t="str">
        <f>JW4</f>
        <v>Total System</v>
      </c>
      <c r="JZ4" s="85" t="str">
        <f>JX4</f>
        <v>Target Year</v>
      </c>
      <c r="KA4" s="112" t="s">
        <v>25</v>
      </c>
      <c r="KB4" s="112" t="s">
        <v>121</v>
      </c>
      <c r="KC4" s="111" t="s">
        <v>122</v>
      </c>
      <c r="KD4" s="112" t="s">
        <v>123</v>
      </c>
      <c r="KE4" s="123"/>
      <c r="KF4" s="124"/>
      <c r="KG4" s="123"/>
      <c r="KH4" s="87"/>
      <c r="KI4" s="109" t="s">
        <v>124</v>
      </c>
      <c r="KJ4" s="125" t="s">
        <v>94</v>
      </c>
      <c r="KK4" s="110" t="s">
        <v>95</v>
      </c>
      <c r="KL4" s="111" t="s">
        <v>125</v>
      </c>
      <c r="KM4" s="85" t="s">
        <v>121</v>
      </c>
      <c r="KN4" s="111" t="s">
        <v>125</v>
      </c>
      <c r="KO4" s="85" t="str">
        <f>KM4</f>
        <v>Target Year</v>
      </c>
      <c r="KP4" s="111" t="s">
        <v>125</v>
      </c>
      <c r="KQ4" s="85" t="str">
        <f>KO4</f>
        <v>Target Year</v>
      </c>
      <c r="KR4" s="111" t="s">
        <v>125</v>
      </c>
      <c r="KS4" s="85" t="str">
        <f>KQ4</f>
        <v>Target Year</v>
      </c>
      <c r="KT4" s="111" t="s">
        <v>125</v>
      </c>
      <c r="KU4" s="85" t="str">
        <f>KQ4</f>
        <v>Target Year</v>
      </c>
      <c r="KV4" s="111" t="s">
        <v>125</v>
      </c>
      <c r="KW4" s="85" t="str">
        <f>KS4</f>
        <v>Target Year</v>
      </c>
      <c r="KX4" s="111" t="s">
        <v>125</v>
      </c>
      <c r="KY4" s="85" t="str">
        <f>KS4</f>
        <v>Target Year</v>
      </c>
      <c r="KZ4" s="111" t="s">
        <v>125</v>
      </c>
      <c r="LA4" s="85" t="str">
        <f>KY4</f>
        <v>Target Year</v>
      </c>
      <c r="LB4" s="111" t="s">
        <v>25</v>
      </c>
      <c r="LC4" s="112" t="s">
        <v>423</v>
      </c>
      <c r="LD4" s="126"/>
      <c r="LE4" s="127"/>
      <c r="LG4" s="87"/>
      <c r="LH4" s="80" t="s">
        <v>89</v>
      </c>
      <c r="LI4" s="111" t="s">
        <v>99</v>
      </c>
      <c r="LJ4" s="80" t="s">
        <v>25</v>
      </c>
      <c r="LK4" s="85" t="s">
        <v>121</v>
      </c>
      <c r="LL4" s="111" t="s">
        <v>99</v>
      </c>
      <c r="LM4" s="80" t="s">
        <v>25</v>
      </c>
      <c r="LN4" s="85" t="s">
        <v>121</v>
      </c>
      <c r="LO4" s="111" t="s">
        <v>99</v>
      </c>
      <c r="LP4" s="80" t="s">
        <v>25</v>
      </c>
      <c r="LQ4" s="85" t="s">
        <v>121</v>
      </c>
      <c r="LR4" s="60"/>
      <c r="LS4" s="72"/>
      <c r="LT4" s="60"/>
      <c r="LU4" s="80"/>
      <c r="LV4" s="80" t="s">
        <v>126</v>
      </c>
      <c r="LW4" s="80" t="s">
        <v>127</v>
      </c>
      <c r="LX4" s="60"/>
      <c r="LY4" s="72"/>
      <c r="LZ4" s="60"/>
      <c r="MA4" s="61"/>
      <c r="MB4" s="62"/>
      <c r="MC4" s="1047" t="s">
        <v>128</v>
      </c>
      <c r="MD4" s="1047"/>
      <c r="ME4" s="128"/>
      <c r="MF4" s="1048" t="s">
        <v>129</v>
      </c>
      <c r="MG4" s="1047"/>
      <c r="MH4" s="60"/>
      <c r="MI4" s="72"/>
      <c r="MJ4" s="60"/>
      <c r="MK4" s="61"/>
      <c r="ML4" s="129"/>
      <c r="MM4" s="128" t="s">
        <v>130</v>
      </c>
      <c r="MN4" s="129" t="s">
        <v>131</v>
      </c>
      <c r="MO4" s="128" t="s">
        <v>132</v>
      </c>
      <c r="MP4" s="128" t="s">
        <v>132</v>
      </c>
      <c r="MQ4" s="60"/>
      <c r="MR4" s="72"/>
      <c r="MS4" s="6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0"/>
      <c r="NT4" s="130"/>
      <c r="NU4" s="130"/>
      <c r="NV4" s="130"/>
      <c r="NW4" s="130"/>
      <c r="NX4" s="130"/>
      <c r="NY4" s="130"/>
      <c r="NZ4" s="130"/>
      <c r="OA4" s="130"/>
      <c r="OB4" s="130"/>
      <c r="OC4" s="130"/>
      <c r="OD4" s="130"/>
      <c r="OE4" s="130"/>
      <c r="OF4" s="130"/>
      <c r="OG4" s="130"/>
      <c r="OH4" s="130"/>
      <c r="OI4" s="130"/>
      <c r="OJ4" s="130"/>
      <c r="OK4" s="130"/>
      <c r="OL4" s="130"/>
      <c r="OM4" s="130"/>
      <c r="ON4" s="130"/>
      <c r="OO4" s="130"/>
    </row>
    <row r="5" spans="1:405" s="141" customFormat="1" ht="20.25" customHeight="1" x14ac:dyDescent="0.3">
      <c r="A5" s="131"/>
      <c r="B5" s="132" t="s">
        <v>133</v>
      </c>
      <c r="C5" s="133"/>
      <c r="D5" s="134"/>
      <c r="E5" s="135"/>
      <c r="F5" s="136" t="s">
        <v>134</v>
      </c>
      <c r="G5" s="137" t="s">
        <v>135</v>
      </c>
      <c r="H5" s="138" t="s">
        <v>136</v>
      </c>
      <c r="I5" s="132" t="s">
        <v>137</v>
      </c>
      <c r="J5" s="137" t="s">
        <v>138</v>
      </c>
      <c r="K5" s="136" t="s">
        <v>139</v>
      </c>
      <c r="L5" s="139" t="s">
        <v>140</v>
      </c>
      <c r="M5" s="137" t="s">
        <v>141</v>
      </c>
      <c r="N5" s="136" t="s">
        <v>142</v>
      </c>
      <c r="O5" s="139" t="s">
        <v>143</v>
      </c>
      <c r="P5" s="137" t="s">
        <v>144</v>
      </c>
      <c r="Q5" s="140" t="s">
        <v>145</v>
      </c>
      <c r="R5" s="132" t="s">
        <v>146</v>
      </c>
      <c r="T5" s="142"/>
      <c r="U5" s="131"/>
      <c r="V5" s="143" t="s">
        <v>133</v>
      </c>
      <c r="W5" s="144" t="s">
        <v>134</v>
      </c>
      <c r="X5" s="143" t="s">
        <v>135</v>
      </c>
      <c r="Y5" s="145" t="s">
        <v>147</v>
      </c>
      <c r="Z5" s="143" t="s">
        <v>137</v>
      </c>
      <c r="AA5" s="143" t="s">
        <v>138</v>
      </c>
      <c r="AB5" s="123"/>
      <c r="AC5" s="146"/>
      <c r="AD5" s="142"/>
      <c r="AE5" s="131"/>
      <c r="AF5" s="143" t="s">
        <v>133</v>
      </c>
      <c r="AG5" s="144" t="s">
        <v>134</v>
      </c>
      <c r="AH5" s="143" t="s">
        <v>135</v>
      </c>
      <c r="AI5" s="145" t="s">
        <v>147</v>
      </c>
      <c r="AJ5" s="143" t="s">
        <v>137</v>
      </c>
      <c r="AK5" s="131"/>
      <c r="AL5" s="147"/>
      <c r="AM5" s="131"/>
      <c r="AN5" s="143" t="s">
        <v>133</v>
      </c>
      <c r="AO5" s="6"/>
      <c r="AP5" s="148"/>
      <c r="AQ5" s="148"/>
      <c r="AR5" s="149"/>
      <c r="AS5" s="143" t="s">
        <v>134</v>
      </c>
      <c r="AT5" s="143" t="s">
        <v>135</v>
      </c>
      <c r="AU5" s="143"/>
      <c r="AV5" s="143">
        <v>0</v>
      </c>
      <c r="AW5" s="143" t="s">
        <v>135</v>
      </c>
      <c r="AX5" s="143" t="s">
        <v>147</v>
      </c>
      <c r="AY5" s="143"/>
      <c r="AZ5" s="143" t="s">
        <v>137</v>
      </c>
      <c r="BA5" s="143" t="s">
        <v>138</v>
      </c>
      <c r="BB5" s="143" t="s">
        <v>139</v>
      </c>
      <c r="BC5" s="143"/>
      <c r="BD5" s="143" t="s">
        <v>140</v>
      </c>
      <c r="BE5" s="143" t="s">
        <v>141</v>
      </c>
      <c r="BF5" s="143" t="s">
        <v>142</v>
      </c>
      <c r="BG5" s="143"/>
      <c r="BH5" s="143" t="s">
        <v>143</v>
      </c>
      <c r="BI5" s="143" t="s">
        <v>144</v>
      </c>
      <c r="BJ5" s="143" t="s">
        <v>145</v>
      </c>
      <c r="BK5" s="143"/>
      <c r="BL5" s="143" t="s">
        <v>146</v>
      </c>
      <c r="BM5" s="143" t="s">
        <v>148</v>
      </c>
      <c r="BN5" s="143" t="s">
        <v>149</v>
      </c>
      <c r="BO5" s="143"/>
      <c r="BP5" s="143" t="s">
        <v>150</v>
      </c>
      <c r="BQ5" s="143" t="s">
        <v>151</v>
      </c>
      <c r="BR5" s="143" t="s">
        <v>152</v>
      </c>
      <c r="BS5" s="143"/>
      <c r="BT5" s="143" t="s">
        <v>153</v>
      </c>
      <c r="BU5" s="143" t="s">
        <v>154</v>
      </c>
      <c r="BV5" s="143" t="s">
        <v>155</v>
      </c>
      <c r="BW5" s="144" t="s">
        <v>134</v>
      </c>
      <c r="BX5" s="143" t="s">
        <v>135</v>
      </c>
      <c r="BY5" s="143" t="s">
        <v>136</v>
      </c>
      <c r="BZ5" s="144" t="s">
        <v>134</v>
      </c>
      <c r="CA5" s="143" t="s">
        <v>135</v>
      </c>
      <c r="CB5" s="143" t="s">
        <v>136</v>
      </c>
      <c r="CC5" s="143" t="s">
        <v>134</v>
      </c>
      <c r="CD5" s="143" t="s">
        <v>135</v>
      </c>
      <c r="CE5" s="143"/>
      <c r="CF5" s="150" t="s">
        <v>137</v>
      </c>
      <c r="CG5" s="143" t="s">
        <v>138</v>
      </c>
      <c r="CH5" s="143" t="s">
        <v>139</v>
      </c>
      <c r="CI5" s="151" t="s">
        <v>140</v>
      </c>
      <c r="CJ5" s="143" t="s">
        <v>141</v>
      </c>
      <c r="CK5" s="131"/>
      <c r="CL5" s="142"/>
      <c r="CM5" s="131"/>
      <c r="CN5" s="143" t="s">
        <v>133</v>
      </c>
      <c r="CO5" s="152"/>
      <c r="CP5" s="143" t="s">
        <v>134</v>
      </c>
      <c r="CQ5" s="143" t="s">
        <v>135</v>
      </c>
      <c r="CR5" s="143" t="s">
        <v>147</v>
      </c>
      <c r="CS5" s="153" t="s">
        <v>137</v>
      </c>
      <c r="CT5" s="143" t="s">
        <v>138</v>
      </c>
      <c r="CU5" s="143" t="s">
        <v>139</v>
      </c>
      <c r="CV5" s="143" t="s">
        <v>140</v>
      </c>
      <c r="CW5" s="143" t="s">
        <v>141</v>
      </c>
      <c r="CX5" s="154"/>
      <c r="CY5" s="102"/>
      <c r="CZ5" s="131"/>
      <c r="DA5" s="143" t="s">
        <v>133</v>
      </c>
      <c r="DB5" s="155"/>
      <c r="DC5" s="143" t="s">
        <v>134</v>
      </c>
      <c r="DD5" s="156" t="s">
        <v>135</v>
      </c>
      <c r="DE5" s="143" t="s">
        <v>147</v>
      </c>
      <c r="DF5" s="157" t="s">
        <v>137</v>
      </c>
      <c r="DG5" s="157" t="s">
        <v>138</v>
      </c>
      <c r="DH5" s="131"/>
      <c r="DI5" s="102"/>
      <c r="DJ5" s="131"/>
      <c r="DK5" s="143" t="s">
        <v>133</v>
      </c>
      <c r="DL5" s="155"/>
      <c r="DM5" s="143" t="s">
        <v>134</v>
      </c>
      <c r="DN5" s="156" t="s">
        <v>135</v>
      </c>
      <c r="DO5" s="143" t="s">
        <v>147</v>
      </c>
      <c r="DP5" s="157" t="s">
        <v>137</v>
      </c>
      <c r="DQ5" s="131"/>
      <c r="DR5" s="142"/>
      <c r="DS5" s="131"/>
      <c r="DT5" s="143" t="s">
        <v>133</v>
      </c>
      <c r="DU5" s="158"/>
      <c r="DV5" s="157" t="s">
        <v>134</v>
      </c>
      <c r="DW5" s="157" t="s">
        <v>135</v>
      </c>
      <c r="DX5" s="157" t="s">
        <v>147</v>
      </c>
      <c r="DY5" s="157" t="s">
        <v>137</v>
      </c>
      <c r="DZ5" s="159" t="s">
        <v>138</v>
      </c>
      <c r="EA5" s="157" t="s">
        <v>139</v>
      </c>
      <c r="EB5" s="157" t="s">
        <v>140</v>
      </c>
      <c r="EC5" s="157" t="s">
        <v>141</v>
      </c>
      <c r="ED5" s="131"/>
      <c r="EE5" s="142"/>
      <c r="EF5" s="131"/>
      <c r="EG5" s="143" t="s">
        <v>133</v>
      </c>
      <c r="EH5" s="152"/>
      <c r="EI5" s="143" t="s">
        <v>134</v>
      </c>
      <c r="EJ5" s="143" t="s">
        <v>135</v>
      </c>
      <c r="EK5" s="143" t="s">
        <v>147</v>
      </c>
      <c r="EL5" s="153" t="s">
        <v>137</v>
      </c>
      <c r="EM5" s="143" t="s">
        <v>138</v>
      </c>
      <c r="EN5" s="143" t="s">
        <v>139</v>
      </c>
      <c r="EO5" s="143" t="s">
        <v>140</v>
      </c>
      <c r="EP5" s="143" t="s">
        <v>141</v>
      </c>
      <c r="EQ5" s="160"/>
      <c r="ER5" s="161"/>
      <c r="ES5" s="131"/>
      <c r="ET5" s="143" t="s">
        <v>133</v>
      </c>
      <c r="EU5" s="152"/>
      <c r="EV5" s="143" t="s">
        <v>134</v>
      </c>
      <c r="EW5" s="143" t="s">
        <v>135</v>
      </c>
      <c r="EX5" s="143" t="s">
        <v>147</v>
      </c>
      <c r="EY5" s="153" t="s">
        <v>137</v>
      </c>
      <c r="EZ5" s="143" t="s">
        <v>138</v>
      </c>
      <c r="FA5" s="143" t="s">
        <v>139</v>
      </c>
      <c r="FB5" s="143" t="s">
        <v>140</v>
      </c>
      <c r="FC5" s="153" t="s">
        <v>141</v>
      </c>
      <c r="FD5" s="143" t="s">
        <v>142</v>
      </c>
      <c r="FE5" s="143" t="s">
        <v>143</v>
      </c>
      <c r="FF5" s="143" t="s">
        <v>144</v>
      </c>
      <c r="FG5" s="160"/>
      <c r="FH5" s="161"/>
      <c r="FI5" s="131"/>
      <c r="FJ5" s="143" t="s">
        <v>133</v>
      </c>
      <c r="FK5" s="148"/>
      <c r="FL5" s="162"/>
      <c r="FM5" s="143" t="s">
        <v>134</v>
      </c>
      <c r="FN5" s="143" t="s">
        <v>135</v>
      </c>
      <c r="FO5" s="143" t="s">
        <v>147</v>
      </c>
      <c r="FP5" s="153" t="s">
        <v>137</v>
      </c>
      <c r="FQ5" s="143" t="s">
        <v>138</v>
      </c>
      <c r="FR5" s="143" t="s">
        <v>139</v>
      </c>
      <c r="FS5" s="143" t="s">
        <v>140</v>
      </c>
      <c r="FT5" s="143" t="s">
        <v>141</v>
      </c>
      <c r="FU5" s="143" t="s">
        <v>142</v>
      </c>
      <c r="FV5" s="160"/>
      <c r="FW5" s="102"/>
      <c r="FX5" s="131"/>
      <c r="FY5" s="143" t="s">
        <v>133</v>
      </c>
      <c r="FZ5" s="163"/>
      <c r="GA5" s="143" t="s">
        <v>134</v>
      </c>
      <c r="GB5" s="143" t="s">
        <v>135</v>
      </c>
      <c r="GC5" s="143" t="s">
        <v>147</v>
      </c>
      <c r="GD5" s="153" t="s">
        <v>137</v>
      </c>
      <c r="GE5" s="143" t="s">
        <v>138</v>
      </c>
      <c r="GF5" s="143" t="s">
        <v>139</v>
      </c>
      <c r="GG5" s="143" t="s">
        <v>140</v>
      </c>
      <c r="GH5" s="143" t="s">
        <v>141</v>
      </c>
      <c r="GI5" s="164"/>
      <c r="GJ5" s="142"/>
      <c r="GK5" s="131"/>
      <c r="GL5" s="143" t="s">
        <v>133</v>
      </c>
      <c r="GM5" s="149"/>
      <c r="GN5" s="143" t="s">
        <v>134</v>
      </c>
      <c r="GO5" s="143" t="s">
        <v>135</v>
      </c>
      <c r="GP5" s="143" t="s">
        <v>147</v>
      </c>
      <c r="GQ5" s="153" t="s">
        <v>137</v>
      </c>
      <c r="GR5" s="143" t="s">
        <v>138</v>
      </c>
      <c r="GS5" s="143" t="s">
        <v>139</v>
      </c>
      <c r="GT5" s="143" t="s">
        <v>140</v>
      </c>
      <c r="GU5" s="143" t="s">
        <v>141</v>
      </c>
      <c r="GV5" s="131"/>
      <c r="GW5" s="142"/>
      <c r="GX5" s="131"/>
      <c r="GY5" s="131"/>
      <c r="GZ5" s="165" t="s">
        <v>156</v>
      </c>
      <c r="HA5" s="143" t="s">
        <v>134</v>
      </c>
      <c r="HB5" s="143" t="s">
        <v>135</v>
      </c>
      <c r="HC5" s="143" t="s">
        <v>147</v>
      </c>
      <c r="HD5" s="143" t="s">
        <v>137</v>
      </c>
      <c r="HE5" s="143" t="s">
        <v>138</v>
      </c>
      <c r="HF5" s="143" t="s">
        <v>139</v>
      </c>
      <c r="HG5" s="143" t="s">
        <v>140</v>
      </c>
      <c r="HH5" s="143" t="s">
        <v>141</v>
      </c>
      <c r="HI5" s="143" t="s">
        <v>142</v>
      </c>
      <c r="HJ5" s="143" t="s">
        <v>143</v>
      </c>
      <c r="HK5" s="123"/>
      <c r="HL5" s="49"/>
      <c r="HM5" s="123"/>
      <c r="HN5" s="166" t="s">
        <v>133</v>
      </c>
      <c r="HO5" s="167" t="s">
        <v>134</v>
      </c>
      <c r="HP5" s="153" t="s">
        <v>135</v>
      </c>
      <c r="HQ5" s="143" t="s">
        <v>147</v>
      </c>
      <c r="HR5" s="153" t="s">
        <v>137</v>
      </c>
      <c r="HS5" s="143" t="s">
        <v>138</v>
      </c>
      <c r="HT5" s="153" t="s">
        <v>139</v>
      </c>
      <c r="HU5" s="143" t="s">
        <v>140</v>
      </c>
      <c r="HV5" s="153" t="s">
        <v>141</v>
      </c>
      <c r="HW5" s="143" t="s">
        <v>142</v>
      </c>
      <c r="HX5" s="143" t="s">
        <v>143</v>
      </c>
      <c r="HY5" s="143" t="s">
        <v>144</v>
      </c>
      <c r="HZ5" s="143" t="s">
        <v>145</v>
      </c>
      <c r="IA5" s="123"/>
      <c r="IB5" s="124"/>
      <c r="IC5" s="123"/>
      <c r="ID5" s="168" t="s">
        <v>156</v>
      </c>
      <c r="IE5" s="169" t="s">
        <v>134</v>
      </c>
      <c r="IF5" s="170" t="s">
        <v>135</v>
      </c>
      <c r="IG5" s="169" t="s">
        <v>147</v>
      </c>
      <c r="IH5" s="171" t="s">
        <v>137</v>
      </c>
      <c r="II5" s="170" t="s">
        <v>138</v>
      </c>
      <c r="IJ5" s="171" t="s">
        <v>139</v>
      </c>
      <c r="IK5" s="170" t="s">
        <v>140</v>
      </c>
      <c r="IL5" s="171" t="s">
        <v>141</v>
      </c>
      <c r="IM5" s="170" t="s">
        <v>142</v>
      </c>
      <c r="IN5" s="171" t="s">
        <v>143</v>
      </c>
      <c r="IO5" s="170" t="s">
        <v>144</v>
      </c>
      <c r="IP5" s="171" t="s">
        <v>145</v>
      </c>
      <c r="IQ5" s="170" t="s">
        <v>146</v>
      </c>
      <c r="IR5" s="171" t="s">
        <v>148</v>
      </c>
      <c r="IS5" s="170" t="s">
        <v>149</v>
      </c>
      <c r="IT5" s="171" t="s">
        <v>150</v>
      </c>
      <c r="IU5" s="170" t="s">
        <v>151</v>
      </c>
      <c r="IV5" s="172" t="s">
        <v>157</v>
      </c>
      <c r="IW5" s="170" t="s">
        <v>153</v>
      </c>
      <c r="IX5" s="171" t="s">
        <v>154</v>
      </c>
      <c r="IY5" s="171" t="s">
        <v>155</v>
      </c>
      <c r="IZ5" s="171" t="s">
        <v>158</v>
      </c>
      <c r="JA5" s="123"/>
      <c r="JB5" s="124"/>
      <c r="JC5" s="11"/>
      <c r="JD5" s="165" t="s">
        <v>133</v>
      </c>
      <c r="JE5" s="143" t="s">
        <v>134</v>
      </c>
      <c r="JF5" s="143" t="s">
        <v>135</v>
      </c>
      <c r="JG5" s="143" t="s">
        <v>159</v>
      </c>
      <c r="JH5" s="143" t="s">
        <v>137</v>
      </c>
      <c r="JI5" s="143" t="s">
        <v>160</v>
      </c>
      <c r="JJ5" s="143" t="s">
        <v>139</v>
      </c>
      <c r="JK5" s="143" t="s">
        <v>140</v>
      </c>
      <c r="JL5" s="143" t="s">
        <v>141</v>
      </c>
      <c r="JM5" s="143" t="s">
        <v>142</v>
      </c>
      <c r="JN5" s="123"/>
      <c r="JO5" s="124"/>
      <c r="JP5" s="52"/>
      <c r="JQ5" s="165" t="s">
        <v>133</v>
      </c>
      <c r="JR5" s="143" t="str">
        <f>JE5</f>
        <v>(a)</v>
      </c>
      <c r="JS5" s="143" t="s">
        <v>135</v>
      </c>
      <c r="JT5" s="143" t="s">
        <v>159</v>
      </c>
      <c r="JU5" s="143" t="s">
        <v>137</v>
      </c>
      <c r="JV5" s="143" t="s">
        <v>160</v>
      </c>
      <c r="JW5" s="143" t="s">
        <v>139</v>
      </c>
      <c r="JX5" s="143" t="s">
        <v>140</v>
      </c>
      <c r="JY5" s="143" t="s">
        <v>141</v>
      </c>
      <c r="JZ5" s="143" t="s">
        <v>142</v>
      </c>
      <c r="KA5" s="143" t="s">
        <v>143</v>
      </c>
      <c r="KB5" s="143" t="s">
        <v>144</v>
      </c>
      <c r="KC5" s="143" t="s">
        <v>145</v>
      </c>
      <c r="KD5" s="143" t="s">
        <v>146</v>
      </c>
      <c r="KE5" s="52"/>
      <c r="KF5" s="55"/>
      <c r="KG5" s="52"/>
      <c r="KH5" s="173" t="s">
        <v>133</v>
      </c>
      <c r="KI5" s="167" t="s">
        <v>134</v>
      </c>
      <c r="KJ5" s="167" t="s">
        <v>135</v>
      </c>
      <c r="KK5" s="167" t="s">
        <v>159</v>
      </c>
      <c r="KL5" s="143" t="s">
        <v>137</v>
      </c>
      <c r="KM5" s="153" t="s">
        <v>160</v>
      </c>
      <c r="KN5" s="143" t="s">
        <v>139</v>
      </c>
      <c r="KO5" s="153" t="s">
        <v>140</v>
      </c>
      <c r="KP5" s="143" t="s">
        <v>141</v>
      </c>
      <c r="KQ5" s="153" t="s">
        <v>142</v>
      </c>
      <c r="KR5" s="153" t="s">
        <v>143</v>
      </c>
      <c r="KS5" s="153" t="s">
        <v>144</v>
      </c>
      <c r="KT5" s="143" t="s">
        <v>145</v>
      </c>
      <c r="KU5" s="153" t="s">
        <v>146</v>
      </c>
      <c r="KV5" s="143" t="s">
        <v>148</v>
      </c>
      <c r="KW5" s="153" t="s">
        <v>149</v>
      </c>
      <c r="KX5" s="143" t="s">
        <v>150</v>
      </c>
      <c r="KY5" s="153" t="s">
        <v>151</v>
      </c>
      <c r="KZ5" s="143" t="s">
        <v>152</v>
      </c>
      <c r="LA5" s="153" t="s">
        <v>161</v>
      </c>
      <c r="LB5" s="143" t="s">
        <v>154</v>
      </c>
      <c r="LC5" s="143" t="s">
        <v>155</v>
      </c>
      <c r="LD5" s="11"/>
      <c r="LE5" s="105"/>
      <c r="LG5" s="165" t="s">
        <v>156</v>
      </c>
      <c r="LH5" s="153" t="s">
        <v>134</v>
      </c>
      <c r="LI5" s="143" t="s">
        <v>135</v>
      </c>
      <c r="LJ5" s="143" t="s">
        <v>159</v>
      </c>
      <c r="LK5" s="153" t="s">
        <v>137</v>
      </c>
      <c r="LL5" s="143" t="s">
        <v>160</v>
      </c>
      <c r="LM5" s="143" t="s">
        <v>139</v>
      </c>
      <c r="LN5" s="153" t="s">
        <v>140</v>
      </c>
      <c r="LO5" s="143" t="s">
        <v>141</v>
      </c>
      <c r="LP5" s="143" t="s">
        <v>142</v>
      </c>
      <c r="LQ5" s="143" t="s">
        <v>143</v>
      </c>
      <c r="LR5" s="131"/>
      <c r="LS5" s="147"/>
      <c r="LU5" s="165" t="s">
        <v>133</v>
      </c>
      <c r="LV5" s="144" t="s">
        <v>134</v>
      </c>
      <c r="LW5" s="143" t="s">
        <v>135</v>
      </c>
      <c r="LY5" s="147"/>
      <c r="MA5" s="174"/>
      <c r="MB5" s="174"/>
      <c r="MC5" s="175" t="s">
        <v>61</v>
      </c>
      <c r="MD5" s="176" t="s">
        <v>62</v>
      </c>
      <c r="ME5" s="177"/>
      <c r="MF5" s="178" t="s">
        <v>61</v>
      </c>
      <c r="MG5" s="176" t="s">
        <v>62</v>
      </c>
      <c r="MH5" s="131"/>
      <c r="MI5" s="147"/>
      <c r="MK5" s="174"/>
      <c r="ML5" s="174"/>
      <c r="MM5" s="174"/>
      <c r="MN5" s="174"/>
      <c r="MO5" s="179" t="s">
        <v>162</v>
      </c>
      <c r="MP5" s="179" t="s">
        <v>163</v>
      </c>
      <c r="MQ5" s="131"/>
      <c r="MR5" s="147"/>
      <c r="MT5" s="180"/>
      <c r="MU5" s="180"/>
      <c r="MV5" s="180"/>
      <c r="MW5" s="180"/>
      <c r="MX5" s="180"/>
      <c r="MY5" s="180"/>
      <c r="MZ5" s="180"/>
      <c r="NA5" s="180"/>
      <c r="NB5" s="180"/>
      <c r="NC5" s="180"/>
      <c r="ND5" s="180"/>
      <c r="NE5" s="180"/>
      <c r="NF5" s="180"/>
      <c r="NG5" s="180"/>
      <c r="NH5" s="180"/>
      <c r="NI5" s="180"/>
      <c r="NJ5" s="180"/>
      <c r="NK5" s="180"/>
      <c r="NL5" s="180"/>
      <c r="NM5" s="180"/>
      <c r="NN5" s="180"/>
      <c r="NO5" s="180"/>
      <c r="NP5" s="180"/>
      <c r="NQ5" s="180"/>
      <c r="NR5" s="180"/>
      <c r="NS5" s="180"/>
      <c r="NT5" s="180"/>
      <c r="NU5" s="180"/>
      <c r="NV5" s="180"/>
      <c r="NW5" s="180"/>
      <c r="NX5" s="180"/>
      <c r="NY5" s="180"/>
      <c r="NZ5" s="180"/>
      <c r="OA5" s="180"/>
      <c r="OB5" s="180"/>
      <c r="OC5" s="180"/>
      <c r="OD5" s="180"/>
      <c r="OE5" s="180"/>
      <c r="OF5" s="180"/>
      <c r="OG5" s="180"/>
      <c r="OH5" s="180"/>
      <c r="OI5" s="180"/>
      <c r="OJ5" s="180"/>
      <c r="OK5" s="180"/>
      <c r="OL5" s="180"/>
      <c r="OM5" s="180"/>
      <c r="ON5" s="180"/>
      <c r="OO5" s="180"/>
    </row>
    <row r="6" spans="1:405" s="29" customFormat="1" ht="16.5" x14ac:dyDescent="0.3">
      <c r="B6" s="181">
        <v>1</v>
      </c>
      <c r="C6" s="182" t="s">
        <v>164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4"/>
      <c r="S6" s="12"/>
      <c r="T6" s="13"/>
      <c r="U6" s="12"/>
      <c r="V6" s="185"/>
      <c r="W6" s="186" t="s">
        <v>23</v>
      </c>
      <c r="X6" s="187"/>
      <c r="Y6" s="188"/>
      <c r="Z6" s="188"/>
      <c r="AA6" s="188"/>
      <c r="AB6" s="18" t="s">
        <v>432</v>
      </c>
      <c r="AC6" s="190"/>
      <c r="AD6" s="13"/>
      <c r="AE6" s="12"/>
      <c r="AF6" s="7"/>
      <c r="AG6" s="191" t="s">
        <v>23</v>
      </c>
      <c r="AK6" s="12"/>
      <c r="AL6" s="13"/>
      <c r="AM6" s="12"/>
      <c r="AN6" s="192">
        <v>1</v>
      </c>
      <c r="AO6" s="193"/>
      <c r="AP6" s="194" t="s">
        <v>164</v>
      </c>
      <c r="AQ6" s="7"/>
      <c r="AR6" s="195"/>
      <c r="CF6" s="196"/>
      <c r="CI6" s="196"/>
      <c r="CK6" s="12"/>
      <c r="CL6" s="13"/>
      <c r="CM6" s="12"/>
      <c r="CN6" s="192">
        <v>1</v>
      </c>
      <c r="CO6" s="961" t="s">
        <v>68</v>
      </c>
      <c r="CP6" s="860">
        <v>236572.53545833335</v>
      </c>
      <c r="CQ6" s="860">
        <v>4629570.149699999</v>
      </c>
      <c r="CR6" s="860">
        <v>525646.00049999997</v>
      </c>
      <c r="CS6" s="801">
        <f>CR6+CQ6</f>
        <v>5155216.1501999991</v>
      </c>
      <c r="CT6" s="859">
        <v>237677.50364015155</v>
      </c>
      <c r="CU6" s="860">
        <v>4660468.5751545439</v>
      </c>
      <c r="CV6" s="860">
        <v>384573.36331075378</v>
      </c>
      <c r="CW6" s="860">
        <f>CV6+CU6</f>
        <v>5045041.9384652972</v>
      </c>
      <c r="CX6" s="198"/>
      <c r="CY6" s="102"/>
      <c r="CZ6" s="12"/>
      <c r="DA6" s="192">
        <v>1</v>
      </c>
      <c r="DB6" s="963" t="s">
        <v>68</v>
      </c>
      <c r="DC6" s="865">
        <v>23822.940000000002</v>
      </c>
      <c r="DD6" s="801">
        <v>516348.01379999996</v>
      </c>
      <c r="DE6" s="865">
        <v>23866.121818181819</v>
      </c>
      <c r="DF6" s="860">
        <v>517223.30925454549</v>
      </c>
      <c r="DG6" s="860">
        <v>517223.30925454543</v>
      </c>
      <c r="DH6" s="12"/>
      <c r="DI6" s="102"/>
      <c r="DJ6" s="12"/>
      <c r="DK6" s="192">
        <v>1</v>
      </c>
      <c r="DL6" s="965" t="s">
        <v>68</v>
      </c>
      <c r="DM6" s="865">
        <v>127677.99850000002</v>
      </c>
      <c r="DN6" s="801">
        <v>3249390.7820000011</v>
      </c>
      <c r="DO6" s="865">
        <v>128425.76850000002</v>
      </c>
      <c r="DP6" s="860">
        <v>3412656.4946437916</v>
      </c>
      <c r="DQ6" s="12"/>
      <c r="DR6" s="13"/>
      <c r="DS6" s="12"/>
      <c r="DT6" s="192">
        <v>1</v>
      </c>
      <c r="DU6" s="870" t="s">
        <v>165</v>
      </c>
      <c r="DV6" s="993">
        <v>247730</v>
      </c>
      <c r="DW6" s="993">
        <v>305038</v>
      </c>
      <c r="DX6" s="993">
        <v>385782</v>
      </c>
      <c r="DY6" s="993">
        <f>SUM(DV6:DX6)</f>
        <v>938550</v>
      </c>
      <c r="DZ6" s="994">
        <v>232452</v>
      </c>
      <c r="EA6" s="993">
        <v>298001</v>
      </c>
      <c r="EB6" s="993">
        <v>352006</v>
      </c>
      <c r="EC6" s="993">
        <v>882459</v>
      </c>
      <c r="ED6" s="12"/>
      <c r="EE6" s="13"/>
      <c r="EF6" s="12"/>
      <c r="EG6" s="192">
        <v>1</v>
      </c>
      <c r="EH6" s="969" t="s">
        <v>166</v>
      </c>
      <c r="EI6" s="860">
        <v>267381.79599999997</v>
      </c>
      <c r="EJ6" s="860">
        <v>305094.33900000004</v>
      </c>
      <c r="EK6" s="860">
        <v>477585.31339999998</v>
      </c>
      <c r="EL6" s="801">
        <f>SUM(EI6:EK6)</f>
        <v>1050061.4484000001</v>
      </c>
      <c r="EM6" s="860">
        <v>266107.47745394724</v>
      </c>
      <c r="EN6" s="860">
        <v>305094.33900000004</v>
      </c>
      <c r="EO6" s="860">
        <v>493023.38309582084</v>
      </c>
      <c r="EP6" s="860">
        <f>SUM(EM6:EO6)</f>
        <v>1064225.1995497681</v>
      </c>
      <c r="EQ6" s="16"/>
      <c r="ER6" s="105"/>
      <c r="ES6" s="12"/>
      <c r="ET6" s="192">
        <v>1</v>
      </c>
      <c r="EU6" s="797" t="s">
        <v>166</v>
      </c>
      <c r="EV6" s="955">
        <v>213239.39</v>
      </c>
      <c r="EW6" s="955">
        <v>162393.25900000002</v>
      </c>
      <c r="EX6" s="955">
        <v>105106.77599999998</v>
      </c>
      <c r="EY6" s="801">
        <f>SUM(EV6:EX6)</f>
        <v>480739.42500000005</v>
      </c>
      <c r="EZ6" s="955">
        <v>202334.10366827415</v>
      </c>
      <c r="FA6" s="955">
        <v>150231.90399999998</v>
      </c>
      <c r="FB6" s="955">
        <v>95627.938710191083</v>
      </c>
      <c r="FC6" s="801">
        <f>SUM(EZ6:FB6)</f>
        <v>448193.94637846516</v>
      </c>
      <c r="FD6" s="860">
        <f t="shared" ref="FD6" si="0">(FC6/$FC$9)*$FD$9</f>
        <v>327363.52898918267</v>
      </c>
      <c r="FE6" s="860">
        <f>(FC6/$FC$9)*$FE$9</f>
        <v>120830.476288431</v>
      </c>
      <c r="FF6" s="860">
        <f>SUM(FD6:FE6)</f>
        <v>448194.00527761364</v>
      </c>
      <c r="FG6" s="16"/>
      <c r="FH6" s="105"/>
      <c r="FI6" s="12"/>
      <c r="FJ6" s="192">
        <v>1</v>
      </c>
      <c r="FK6" s="194" t="s">
        <v>167</v>
      </c>
      <c r="FL6" s="199"/>
      <c r="FM6" s="200"/>
      <c r="FN6" s="200"/>
      <c r="FO6" s="200"/>
      <c r="FP6" s="201"/>
      <c r="FQ6" s="200"/>
      <c r="FR6" s="200"/>
      <c r="FS6" s="200"/>
      <c r="FT6" s="200"/>
      <c r="FU6" s="200"/>
      <c r="FV6" s="16"/>
      <c r="FW6" s="105"/>
      <c r="FX6" s="12"/>
      <c r="FY6" s="192">
        <v>1</v>
      </c>
      <c r="FZ6" s="969" t="s">
        <v>168</v>
      </c>
      <c r="GA6" s="860">
        <v>1200</v>
      </c>
      <c r="GB6" s="860">
        <v>714</v>
      </c>
      <c r="GC6" s="860">
        <v>1423.38</v>
      </c>
      <c r="GD6" s="801">
        <f t="shared" ref="GD6:GD11" si="1">SUM(GA6:GC6)</f>
        <v>3337.38</v>
      </c>
      <c r="GE6" s="860">
        <v>1200</v>
      </c>
      <c r="GF6" s="860">
        <v>714</v>
      </c>
      <c r="GG6" s="860">
        <v>1423.3799999999999</v>
      </c>
      <c r="GH6" s="860">
        <f>SUM(GE6:GG6)</f>
        <v>3337.38</v>
      </c>
      <c r="GI6" s="202"/>
      <c r="GJ6" s="203"/>
      <c r="GK6" s="12"/>
      <c r="GL6" s="192">
        <v>1</v>
      </c>
      <c r="GM6" s="973" t="s">
        <v>169</v>
      </c>
      <c r="GN6" s="883">
        <v>300657604</v>
      </c>
      <c r="GO6" s="883">
        <v>658226366</v>
      </c>
      <c r="GP6" s="883">
        <v>1121690182</v>
      </c>
      <c r="GQ6" s="884">
        <f>SUM(GN6:GP6)</f>
        <v>2080574152</v>
      </c>
      <c r="GR6" s="871">
        <v>301831871.77272731</v>
      </c>
      <c r="GS6" s="871">
        <v>658226366</v>
      </c>
      <c r="GT6" s="871">
        <v>1131472285.5</v>
      </c>
      <c r="GU6" s="871">
        <f>SUM(GR6:GT6)</f>
        <v>2091530523.2727273</v>
      </c>
      <c r="GV6" s="204"/>
      <c r="GW6" s="13"/>
      <c r="GX6" s="12"/>
      <c r="GY6" s="12"/>
      <c r="GZ6" s="192">
        <v>1</v>
      </c>
      <c r="HA6" s="886">
        <v>1</v>
      </c>
      <c r="HB6" s="886">
        <v>10</v>
      </c>
      <c r="HC6" s="886">
        <v>21</v>
      </c>
      <c r="HD6" s="887">
        <v>12516790</v>
      </c>
      <c r="HE6" s="888">
        <v>19384421</v>
      </c>
      <c r="HF6" s="800">
        <f>HC6/HB6</f>
        <v>2.1</v>
      </c>
      <c r="HG6" s="800">
        <f>HE6/HD6</f>
        <v>1.5486735017524462</v>
      </c>
      <c r="HH6" s="802">
        <v>1</v>
      </c>
      <c r="HI6" s="802">
        <v>0</v>
      </c>
      <c r="HJ6" s="802">
        <v>0</v>
      </c>
      <c r="HK6" s="12"/>
      <c r="HL6" s="55"/>
      <c r="HM6" s="12"/>
      <c r="HN6" s="205">
        <v>1</v>
      </c>
      <c r="HO6" s="890">
        <v>1</v>
      </c>
      <c r="HP6" s="799">
        <f t="shared" ref="HP6:HP26" si="2">HG6</f>
        <v>1.5486735017524462</v>
      </c>
      <c r="HQ6" s="860">
        <v>0</v>
      </c>
      <c r="HR6" s="801">
        <f>HP6*HQ6</f>
        <v>0</v>
      </c>
      <c r="HS6" s="860">
        <v>1356976</v>
      </c>
      <c r="HT6" s="975">
        <v>2097249</v>
      </c>
      <c r="HU6" s="860">
        <v>642350.24089999998</v>
      </c>
      <c r="HV6" s="975">
        <v>1039284</v>
      </c>
      <c r="HW6" s="860">
        <v>185450.87522688613</v>
      </c>
      <c r="HX6" s="955">
        <v>287202.85634067771</v>
      </c>
      <c r="HY6" s="860">
        <f>SUM(HQ6,HU6,HW6)</f>
        <v>827801.1161268861</v>
      </c>
      <c r="HZ6" s="860">
        <f>SUM(HR6,HV6,HX6)</f>
        <v>1326486.8563406777</v>
      </c>
      <c r="IA6" s="206"/>
      <c r="IB6" s="207"/>
      <c r="IC6" s="206"/>
      <c r="ID6" s="208">
        <v>1</v>
      </c>
      <c r="IE6" s="892">
        <v>1</v>
      </c>
      <c r="IF6" s="896">
        <f t="shared" ref="IF6:IG25" si="3">HF6</f>
        <v>2.1</v>
      </c>
      <c r="IG6" s="897">
        <f t="shared" si="3"/>
        <v>1.5486735017524462</v>
      </c>
      <c r="IH6" s="955">
        <v>308719.11148731643</v>
      </c>
      <c r="II6" s="801">
        <f>IH6*$IG6</f>
        <v>478105.10744496621</v>
      </c>
      <c r="IJ6" s="955">
        <v>43185.960299999999</v>
      </c>
      <c r="IK6" s="801">
        <f>IJ6*$IG6</f>
        <v>66880.952364343117</v>
      </c>
      <c r="IL6" s="955">
        <v>201334.62821268354</v>
      </c>
      <c r="IM6" s="801">
        <f>IL6*IF6</f>
        <v>422802.71924663545</v>
      </c>
      <c r="IN6" s="955">
        <v>352496.2757114711</v>
      </c>
      <c r="IO6" s="995">
        <v>774819.60972537647</v>
      </c>
      <c r="IP6" s="955">
        <v>53385.492599999976</v>
      </c>
      <c r="IQ6" s="801">
        <f>IP6*$IG6</f>
        <v>82676.69776762127</v>
      </c>
      <c r="IR6" s="955">
        <v>14212.910200000004</v>
      </c>
      <c r="IS6" s="801">
        <f>IR6*$IG6</f>
        <v>22011.157409527066</v>
      </c>
      <c r="IT6" s="955">
        <v>21252.47</v>
      </c>
      <c r="IU6" s="801">
        <f>IT6*$IG6</f>
        <v>32913.137135788813</v>
      </c>
      <c r="IV6" s="955">
        <v>112516.38350000001</v>
      </c>
      <c r="IW6" s="801">
        <f>IV6*$IG6</f>
        <v>174251.14163946616</v>
      </c>
      <c r="IX6" s="860">
        <f>IH6+IJ6+IL6+IN6+IP6+IT6+IV6+IR6</f>
        <v>1107103.2320114712</v>
      </c>
      <c r="IY6" s="860">
        <f>II6+IK6+IM6+IO6+IQ6+IU6+IW6+IS6</f>
        <v>2054460.5227337247</v>
      </c>
      <c r="IZ6" s="898">
        <f t="shared" ref="IZ6:IZ26" si="4">IY6/HE6*100</f>
        <v>10.598513738087533</v>
      </c>
      <c r="JA6" s="12"/>
      <c r="JB6" s="13"/>
      <c r="JC6" s="12"/>
      <c r="JD6" s="192">
        <v>1</v>
      </c>
      <c r="JE6" s="886">
        <v>1</v>
      </c>
      <c r="JF6" s="796">
        <f t="shared" ref="JF6:JF25" si="5">HC6</f>
        <v>21</v>
      </c>
      <c r="JG6" s="977">
        <v>20</v>
      </c>
      <c r="JH6" s="859">
        <f t="shared" ref="JH6:JH25" si="6">HE6</f>
        <v>19384421</v>
      </c>
      <c r="JI6" s="859">
        <f>JH6*$JK$26</f>
        <v>19423199.124533869</v>
      </c>
      <c r="JJ6" s="904">
        <f>JG6/JF6</f>
        <v>0.95238095238095233</v>
      </c>
      <c r="JK6" s="904">
        <f>JI6/JH6</f>
        <v>1.0020004788656762</v>
      </c>
      <c r="JL6" s="904">
        <f>LC7/LB7</f>
        <v>1.0073408187591548</v>
      </c>
      <c r="JM6" s="886" t="s">
        <v>424</v>
      </c>
      <c r="JN6" s="209"/>
      <c r="JO6" s="210"/>
      <c r="JP6" s="209"/>
      <c r="JQ6" s="192">
        <v>1</v>
      </c>
      <c r="JR6" s="886">
        <v>1</v>
      </c>
      <c r="JS6" s="910" t="str">
        <f t="shared" ref="JS6:JS25" si="7">JM6</f>
        <v>Q4</v>
      </c>
      <c r="JT6" s="911">
        <f t="shared" ref="JT6:JT26" si="8">JL6</f>
        <v>1.0073408187591548</v>
      </c>
      <c r="JU6" s="860">
        <f>HR6</f>
        <v>0</v>
      </c>
      <c r="JV6" s="860">
        <f>JU6*JL6</f>
        <v>0</v>
      </c>
      <c r="JW6" s="860">
        <f t="shared" ref="JW6:JW26" si="9">HT6</f>
        <v>2097249</v>
      </c>
      <c r="JX6" s="860">
        <f>HE6/$HE$26*$JX$26</f>
        <v>2141995.5388409868</v>
      </c>
      <c r="JY6" s="860">
        <f t="shared" ref="JY6:JY25" si="10">HV6</f>
        <v>1039284</v>
      </c>
      <c r="JZ6" s="860">
        <f t="shared" ref="JZ6:JZ25" si="11">HE6/$HE$26*$JZ$26</f>
        <v>963004.16809144884</v>
      </c>
      <c r="KA6" s="860">
        <f>HX6</f>
        <v>287202.85634067771</v>
      </c>
      <c r="KB6" s="860">
        <f>HE6/$HE$26*$KB$26</f>
        <v>41962.27567193647</v>
      </c>
      <c r="KC6" s="860">
        <f>SUM(JU6,JY6,KA6)</f>
        <v>1326486.8563406777</v>
      </c>
      <c r="KD6" s="860">
        <f>SUM(JV6,JZ6,KB6)</f>
        <v>1004966.4437633853</v>
      </c>
      <c r="KE6" s="211"/>
      <c r="KF6" s="210"/>
      <c r="KG6" s="209"/>
      <c r="KH6" s="212">
        <v>1</v>
      </c>
      <c r="KI6" s="213"/>
      <c r="KJ6" s="213"/>
      <c r="KK6" s="214" t="s">
        <v>170</v>
      </c>
      <c r="KL6" s="215"/>
      <c r="KM6" s="216">
        <v>1.71293334</v>
      </c>
      <c r="KN6" s="217"/>
      <c r="KO6" s="216">
        <v>1.71293334</v>
      </c>
      <c r="KP6" s="217"/>
      <c r="KQ6" s="216">
        <v>1.71293334</v>
      </c>
      <c r="KR6" s="217"/>
      <c r="KS6" s="216">
        <v>1.71293334</v>
      </c>
      <c r="KT6" s="217"/>
      <c r="KU6" s="216">
        <v>1.71293334</v>
      </c>
      <c r="KV6" s="217"/>
      <c r="KW6" s="216">
        <v>1.71293334</v>
      </c>
      <c r="KX6" s="217"/>
      <c r="KY6" s="216">
        <v>1.71293334</v>
      </c>
      <c r="KZ6" s="217"/>
      <c r="LA6" s="216">
        <v>1.71293334</v>
      </c>
      <c r="LB6" s="215"/>
      <c r="LC6" s="218"/>
      <c r="LD6" s="219"/>
      <c r="LE6" s="220"/>
      <c r="LF6" s="12"/>
      <c r="LG6" s="192">
        <v>1</v>
      </c>
      <c r="LH6" s="921">
        <v>1</v>
      </c>
      <c r="LI6" s="860">
        <f t="shared" ref="LI6:LJ25" si="12">HY6</f>
        <v>827801.1161268861</v>
      </c>
      <c r="LJ6" s="860">
        <f t="shared" si="12"/>
        <v>1326486.8563406777</v>
      </c>
      <c r="LK6" s="801">
        <f t="shared" ref="LK6:LK25" si="13">KD6</f>
        <v>1004966.4437633853</v>
      </c>
      <c r="LL6" s="860">
        <f t="shared" ref="LL6:LM25" si="14">IX6</f>
        <v>1107103.2320114712</v>
      </c>
      <c r="LM6" s="860">
        <f t="shared" si="14"/>
        <v>2054460.5227337247</v>
      </c>
      <c r="LN6" s="801">
        <f>LC7</f>
        <v>2069541.9450789515</v>
      </c>
      <c r="LO6" s="860">
        <f>LI6-LL6</f>
        <v>-279302.11588458507</v>
      </c>
      <c r="LP6" s="860">
        <f>LJ6-LM6</f>
        <v>-727973.66639304697</v>
      </c>
      <c r="LQ6" s="860">
        <f>LK6-LN6</f>
        <v>-1064575.5013155662</v>
      </c>
      <c r="LR6" s="12"/>
      <c r="LS6" s="221"/>
      <c r="LT6" s="8"/>
      <c r="LU6" s="192">
        <v>1</v>
      </c>
      <c r="LV6" s="194" t="s">
        <v>171</v>
      </c>
      <c r="LW6" s="181"/>
      <c r="LX6" s="8"/>
      <c r="LY6" s="221"/>
      <c r="LZ6" s="8"/>
      <c r="MA6" s="222" t="s">
        <v>133</v>
      </c>
      <c r="MB6" s="222"/>
      <c r="MC6" s="144" t="s">
        <v>134</v>
      </c>
      <c r="MD6" s="143" t="s">
        <v>135</v>
      </c>
      <c r="ME6" s="143"/>
      <c r="MF6" s="150" t="s">
        <v>136</v>
      </c>
      <c r="MG6" s="143" t="s">
        <v>137</v>
      </c>
      <c r="MH6" s="12"/>
      <c r="MI6" s="221"/>
      <c r="MJ6" s="8"/>
      <c r="MK6" s="222" t="s">
        <v>133</v>
      </c>
      <c r="ML6" s="32"/>
      <c r="MM6" s="18"/>
      <c r="MN6" s="12"/>
      <c r="MO6" s="12"/>
      <c r="MP6" s="12"/>
      <c r="MQ6" s="12"/>
      <c r="MR6" s="221"/>
      <c r="MS6" s="8"/>
    </row>
    <row r="7" spans="1:405" ht="16.5" x14ac:dyDescent="0.3">
      <c r="B7" s="143">
        <f>B6+1</f>
        <v>2</v>
      </c>
      <c r="C7" s="790"/>
      <c r="D7" s="660" t="s">
        <v>164</v>
      </c>
      <c r="E7" s="791"/>
      <c r="F7" s="792">
        <f>GQ7-F10-F11</f>
        <v>336825698.93769997</v>
      </c>
      <c r="G7" s="793">
        <f t="shared" ref="G7:G12" si="15">F7/F$24*100</f>
        <v>16.189074473213005</v>
      </c>
      <c r="H7" s="792">
        <f>GU7-H10-H11</f>
        <v>334169414.28032368</v>
      </c>
      <c r="I7" s="724">
        <f t="shared" ref="I7:I12" si="16">H7/H$24*100</f>
        <v>15.97726691348646</v>
      </c>
      <c r="J7" s="794">
        <f>H7-F7</f>
        <v>-2656284.6573762894</v>
      </c>
      <c r="K7" s="792">
        <f>K8+K9</f>
        <v>366109146</v>
      </c>
      <c r="L7" s="724">
        <f t="shared" ref="L7:L12" si="17">K7/K$24*100</f>
        <v>16.686292465036136</v>
      </c>
      <c r="M7" s="794">
        <f>K7-H7</f>
        <v>31939731.719676316</v>
      </c>
      <c r="N7" s="792">
        <f>N8+N9</f>
        <v>351446689.81595492</v>
      </c>
      <c r="O7" s="724">
        <f t="shared" ref="O7:O12" si="18">N7/N$24*100</f>
        <v>15.986036527888151</v>
      </c>
      <c r="P7" s="794">
        <f>N7-K7</f>
        <v>-14662456.184045076</v>
      </c>
      <c r="Q7" s="792">
        <f>N7-F7</f>
        <v>14620990.87825495</v>
      </c>
      <c r="R7" s="723">
        <f>O7/G7-1</f>
        <v>-1.2541664791326235E-2</v>
      </c>
      <c r="V7" s="165">
        <f>V6+1</f>
        <v>1</v>
      </c>
      <c r="W7" s="805" t="s">
        <v>172</v>
      </c>
      <c r="X7" s="955">
        <v>86537.924694514746</v>
      </c>
      <c r="Y7" s="955">
        <v>3231727.2749500014</v>
      </c>
      <c r="Z7" s="955">
        <v>3840711.9133260008</v>
      </c>
      <c r="AA7" s="1001">
        <f>SUM(X7:Z7)</f>
        <v>7158977.112970517</v>
      </c>
      <c r="AB7" s="18"/>
      <c r="AF7" s="165">
        <v>1</v>
      </c>
      <c r="AG7" s="812" t="s">
        <v>77</v>
      </c>
      <c r="AH7" s="813">
        <f>CP9</f>
        <v>1754646.0788748774</v>
      </c>
      <c r="AI7" s="813">
        <f>DC9</f>
        <v>86327.441190476195</v>
      </c>
      <c r="AJ7" s="682">
        <f>DM9</f>
        <v>567379.8664464287</v>
      </c>
      <c r="AN7" s="222">
        <v>2</v>
      </c>
      <c r="AO7" s="18"/>
      <c r="AQ7" s="660" t="s">
        <v>164</v>
      </c>
      <c r="AR7" s="791"/>
      <c r="AS7" s="821">
        <v>120302111.8284</v>
      </c>
      <c r="AT7" s="822">
        <v>11.731293175407233</v>
      </c>
      <c r="AU7" s="783"/>
      <c r="AV7" s="821">
        <v>126126278.56186666</v>
      </c>
      <c r="AW7" s="822">
        <v>11.687249674641077</v>
      </c>
      <c r="AX7" s="823">
        <f>AW7/AT7-1</f>
        <v>-3.754360248918287E-3</v>
      </c>
      <c r="AY7" s="783"/>
      <c r="AZ7" s="821">
        <v>150728360.25</v>
      </c>
      <c r="BA7" s="822">
        <v>11.683129983994691</v>
      </c>
      <c r="BB7" s="823">
        <f>BA7/AW7-1</f>
        <v>-3.5249445002660806E-4</v>
      </c>
      <c r="BC7" s="783"/>
      <c r="BD7" s="821">
        <v>171227908</v>
      </c>
      <c r="BE7" s="822">
        <v>11.643318740549148</v>
      </c>
      <c r="BF7" s="823">
        <f>BE7/BA7-1</f>
        <v>-3.407583712590978E-3</v>
      </c>
      <c r="BG7" s="783"/>
      <c r="BH7" s="821">
        <v>176109569.11769998</v>
      </c>
      <c r="BI7" s="822">
        <v>11.588889837145976</v>
      </c>
      <c r="BJ7" s="823">
        <f>BI7/BE7-1</f>
        <v>-4.6746898041721829E-3</v>
      </c>
      <c r="BK7" s="783"/>
      <c r="BL7" s="821">
        <v>240705114.20000002</v>
      </c>
      <c r="BM7" s="822">
        <v>14.309535452395124</v>
      </c>
      <c r="BN7" s="823">
        <f>BM7/BI7-1</f>
        <v>0.23476326494438138</v>
      </c>
      <c r="BO7" s="783"/>
      <c r="BP7" s="821">
        <v>290609169.1400001</v>
      </c>
      <c r="BQ7" s="822">
        <v>15.66802926667919</v>
      </c>
      <c r="BR7" s="823">
        <f>BQ7/BM7-1</f>
        <v>9.4936262522532289E-2</v>
      </c>
      <c r="BS7" s="783"/>
      <c r="BT7" s="660">
        <v>313797305.58539999</v>
      </c>
      <c r="BU7" s="660">
        <v>15.993295780429609</v>
      </c>
      <c r="BV7" s="660">
        <f>BU7/BQ7-1</f>
        <v>2.0759886786920534E-2</v>
      </c>
      <c r="BW7" s="237">
        <v>311488574.40979999</v>
      </c>
      <c r="BX7" s="238">
        <v>16.091667659507319</v>
      </c>
      <c r="BY7" s="824">
        <f>BX7/BU7-1</f>
        <v>6.15081972022824E-3</v>
      </c>
      <c r="BZ7" s="824">
        <v>328676461.76159996</v>
      </c>
      <c r="CA7" s="824">
        <v>16.112403825565277</v>
      </c>
      <c r="CB7" s="824">
        <f>CA7/BX7-1</f>
        <v>1.2886275367305355E-3</v>
      </c>
      <c r="CC7" s="956">
        <v>326375296.65850008</v>
      </c>
      <c r="CD7" s="956">
        <v>15.703284067284784</v>
      </c>
      <c r="CE7" s="723">
        <f>CD7/CA7-1</f>
        <v>-2.5391602811701497E-2</v>
      </c>
      <c r="CF7" s="792">
        <f t="shared" ref="CF7:CG10" si="19">F7</f>
        <v>336825698.93769997</v>
      </c>
      <c r="CG7" s="824">
        <f t="shared" si="19"/>
        <v>16.189074473213005</v>
      </c>
      <c r="CH7" s="723">
        <f>CG7/CD7-1</f>
        <v>3.0935593080194224E-2</v>
      </c>
      <c r="CI7" s="825">
        <f>CF7/AS7-1</f>
        <v>1.7998319715131115</v>
      </c>
      <c r="CJ7" s="723">
        <f>(CI7+1)^(1/(2022-2004))-1</f>
        <v>5.886517470646857E-2</v>
      </c>
      <c r="CN7" s="222">
        <v>2</v>
      </c>
      <c r="CO7" s="961" t="s">
        <v>69</v>
      </c>
      <c r="CP7" s="650">
        <v>577097.11378000013</v>
      </c>
      <c r="CQ7" s="650">
        <v>10603705.998900004</v>
      </c>
      <c r="CR7" s="650">
        <v>2118043.7692</v>
      </c>
      <c r="CS7" s="794">
        <f>CR7+CQ7</f>
        <v>12721749.768100005</v>
      </c>
      <c r="CT7" s="861">
        <v>577097.11378000013</v>
      </c>
      <c r="CU7" s="650">
        <v>10603705.998900004</v>
      </c>
      <c r="CV7" s="650">
        <v>1626893.7401080688</v>
      </c>
      <c r="CW7" s="650">
        <f>CV7+CU7</f>
        <v>12230599.739008073</v>
      </c>
      <c r="CX7" s="198"/>
      <c r="CY7" s="20"/>
      <c r="DA7" s="222">
        <v>2</v>
      </c>
      <c r="DB7" s="963" t="s">
        <v>69</v>
      </c>
      <c r="DC7" s="813">
        <v>21303.197499999998</v>
      </c>
      <c r="DD7" s="866">
        <v>484236.19040000002</v>
      </c>
      <c r="DE7" s="813">
        <v>21303.197500000002</v>
      </c>
      <c r="DF7" s="650">
        <v>484236.19040000002</v>
      </c>
      <c r="DG7" s="650">
        <v>484236.19040000002</v>
      </c>
      <c r="DI7" s="20"/>
      <c r="DK7" s="222">
        <v>2</v>
      </c>
      <c r="DL7" s="965" t="s">
        <v>69</v>
      </c>
      <c r="DM7" s="813">
        <v>202091.788</v>
      </c>
      <c r="DN7" s="866">
        <v>5797870.1224999996</v>
      </c>
      <c r="DO7" s="813">
        <v>202091.788</v>
      </c>
      <c r="DP7" s="671">
        <v>6289020.1515919305</v>
      </c>
      <c r="DT7" s="222">
        <v>2</v>
      </c>
      <c r="DU7" s="872" t="s">
        <v>173</v>
      </c>
      <c r="DV7" s="650">
        <v>391984.10000000003</v>
      </c>
      <c r="DW7" s="650">
        <v>338958.95999999996</v>
      </c>
      <c r="DX7" s="650">
        <v>610555.29</v>
      </c>
      <c r="DY7" s="650">
        <v>1341498.3500000001</v>
      </c>
      <c r="DZ7" s="792"/>
      <c r="EA7" s="650"/>
      <c r="EB7" s="650"/>
      <c r="EC7" s="650"/>
      <c r="EG7" s="222">
        <v>2</v>
      </c>
      <c r="EH7" s="969" t="s">
        <v>174</v>
      </c>
      <c r="EI7" s="650">
        <v>57904.114000000001</v>
      </c>
      <c r="EJ7" s="650">
        <v>1239025.2</v>
      </c>
      <c r="EK7" s="650">
        <v>2313306.8732480002</v>
      </c>
      <c r="EL7" s="794">
        <f>SUM(EI7:EK7)</f>
        <v>3610236.1872479999</v>
      </c>
      <c r="EM7" s="650">
        <v>57904.114000000001</v>
      </c>
      <c r="EN7" s="650">
        <v>1239025.2</v>
      </c>
      <c r="EO7" s="650">
        <v>2341399.4332480002</v>
      </c>
      <c r="EP7" s="650">
        <f>SUM(EM7:EO7)</f>
        <v>3638328.7472480005</v>
      </c>
      <c r="EQ7" s="16"/>
      <c r="ER7" s="20"/>
      <c r="ET7" s="222">
        <v>2</v>
      </c>
      <c r="EU7" s="791" t="s">
        <v>174</v>
      </c>
      <c r="EV7" s="955">
        <v>42699.689999999995</v>
      </c>
      <c r="EW7" s="955">
        <v>136024</v>
      </c>
      <c r="EX7" s="955">
        <v>333397.58999999997</v>
      </c>
      <c r="EY7" s="794">
        <f>SUM(EV7:EX7)</f>
        <v>512121.27999999997</v>
      </c>
      <c r="EZ7" s="955">
        <v>38097.634750000005</v>
      </c>
      <c r="FA7" s="955">
        <v>129106.95000000001</v>
      </c>
      <c r="FB7" s="955">
        <v>314929.89600000007</v>
      </c>
      <c r="FC7" s="794">
        <f>SUM(EZ7:FB7)</f>
        <v>482134.4807500001</v>
      </c>
      <c r="FD7" s="650">
        <f>(FC7/$FC$9)*$FD$9</f>
        <v>352153.89752812323</v>
      </c>
      <c r="FE7" s="650">
        <f>(FC7/$FC$9)*$FE$9</f>
        <v>129980.64658130106</v>
      </c>
      <c r="FF7" s="650">
        <f t="shared" ref="FF7:FF9" si="20">SUM(FD7:FE7)</f>
        <v>482134.54410942429</v>
      </c>
      <c r="FG7" s="16"/>
      <c r="FH7" s="20"/>
      <c r="FJ7" s="222">
        <v>2</v>
      </c>
      <c r="FK7" s="242"/>
      <c r="FL7" s="877" t="s">
        <v>175</v>
      </c>
      <c r="FM7" s="650">
        <v>168882.95899999997</v>
      </c>
      <c r="FN7" s="650">
        <v>266037.8</v>
      </c>
      <c r="FO7" s="650">
        <v>517124.14181999996</v>
      </c>
      <c r="FP7" s="794">
        <f t="shared" ref="FP7:FP20" si="21">FM7+FO7+FN7</f>
        <v>952044.90081999986</v>
      </c>
      <c r="FQ7" s="650">
        <v>168947.75899999999</v>
      </c>
      <c r="FR7" s="650">
        <v>266037.8</v>
      </c>
      <c r="FS7" s="650">
        <v>519586.14181999996</v>
      </c>
      <c r="FT7" s="650">
        <v>954571.70081999991</v>
      </c>
      <c r="FU7" s="955">
        <v>954571.70081999991</v>
      </c>
      <c r="FV7" s="202"/>
      <c r="FW7" s="21"/>
      <c r="FY7" s="222">
        <v>2</v>
      </c>
      <c r="FZ7" s="969" t="s">
        <v>176</v>
      </c>
      <c r="GA7" s="650">
        <v>131130.37</v>
      </c>
      <c r="GB7" s="650">
        <v>81469.790000000008</v>
      </c>
      <c r="GC7" s="650">
        <v>174449.45</v>
      </c>
      <c r="GD7" s="794">
        <f t="shared" si="1"/>
        <v>387049.61</v>
      </c>
      <c r="GE7" s="650">
        <v>0</v>
      </c>
      <c r="GF7" s="650">
        <v>0</v>
      </c>
      <c r="GG7" s="650">
        <v>0</v>
      </c>
      <c r="GH7" s="650">
        <v>0</v>
      </c>
      <c r="GI7" s="202"/>
      <c r="GJ7" s="203"/>
      <c r="GL7" s="222">
        <v>2</v>
      </c>
      <c r="GM7" s="974" t="s">
        <v>164</v>
      </c>
      <c r="GN7" s="650">
        <v>49996013.61379452</v>
      </c>
      <c r="GO7" s="650">
        <v>109372423.602</v>
      </c>
      <c r="GP7" s="650">
        <v>183078905.3136</v>
      </c>
      <c r="GQ7" s="794">
        <f>SUM(GN7:GP7)</f>
        <v>342447342.52939451</v>
      </c>
      <c r="GR7" s="650">
        <v>47889922.036118187</v>
      </c>
      <c r="GS7" s="650">
        <v>107608162.42200001</v>
      </c>
      <c r="GT7" s="650">
        <v>183491099.26389998</v>
      </c>
      <c r="GU7" s="650">
        <f>SUM(GR7:GT7)</f>
        <v>338989183.72201818</v>
      </c>
      <c r="GZ7" s="222">
        <v>2</v>
      </c>
      <c r="HA7" s="663">
        <v>2</v>
      </c>
      <c r="HB7" s="663">
        <v>10</v>
      </c>
      <c r="HC7" s="663">
        <v>11</v>
      </c>
      <c r="HD7" s="682">
        <v>16081279.727272727</v>
      </c>
      <c r="HE7" s="682">
        <v>18208871</v>
      </c>
      <c r="HF7" s="724">
        <f t="shared" ref="HF7:HF26" si="22">HC7/HB7</f>
        <v>1.1000000000000001</v>
      </c>
      <c r="HG7" s="724">
        <f t="shared" ref="HG7:HG26" si="23">HE7/HD7</f>
        <v>1.1323023608077054</v>
      </c>
      <c r="HH7" s="723">
        <v>1</v>
      </c>
      <c r="HI7" s="723">
        <v>0</v>
      </c>
      <c r="HJ7" s="723">
        <v>0</v>
      </c>
      <c r="HL7" s="124"/>
      <c r="HN7" s="243">
        <v>2</v>
      </c>
      <c r="HO7" s="891">
        <v>2</v>
      </c>
      <c r="HP7" s="793">
        <f t="shared" si="2"/>
        <v>1.1323023608077054</v>
      </c>
      <c r="HQ7" s="650">
        <v>3119.62</v>
      </c>
      <c r="HR7" s="794">
        <f t="shared" ref="HR7:HR25" si="24">HP7*HQ7</f>
        <v>3532.3530908229336</v>
      </c>
      <c r="HS7" s="650">
        <v>1763065.2727272727</v>
      </c>
      <c r="HT7" s="975">
        <v>1993361</v>
      </c>
      <c r="HU7" s="650">
        <v>826501.34299999999</v>
      </c>
      <c r="HV7" s="975">
        <v>996780</v>
      </c>
      <c r="HW7" s="650">
        <v>224687.71386762871</v>
      </c>
      <c r="HX7" s="955">
        <v>247251.76703576761</v>
      </c>
      <c r="HY7" s="650">
        <f t="shared" ref="HY7:HZ25" si="25">SUM(HQ7,HU7,HW7)</f>
        <v>1054308.6768676287</v>
      </c>
      <c r="HZ7" s="650">
        <f t="shared" si="25"/>
        <v>1247564.1201265906</v>
      </c>
      <c r="IA7" s="206"/>
      <c r="IB7" s="207"/>
      <c r="IC7" s="206"/>
      <c r="ID7" s="244">
        <v>2</v>
      </c>
      <c r="IE7" s="891">
        <v>2</v>
      </c>
      <c r="IF7" s="899">
        <f t="shared" si="3"/>
        <v>1.1000000000000001</v>
      </c>
      <c r="IG7" s="900">
        <f>HG7</f>
        <v>1.1323023608077054</v>
      </c>
      <c r="IH7" s="955">
        <v>404817.96919065242</v>
      </c>
      <c r="II7" s="794">
        <f>IH7*$IG7</f>
        <v>458376.34221195668</v>
      </c>
      <c r="IJ7" s="955">
        <v>29623.045454545456</v>
      </c>
      <c r="IK7" s="794">
        <f t="shared" ref="IK7:IK25" si="26">IJ7*$IG7</f>
        <v>33542.244302495783</v>
      </c>
      <c r="IL7" s="955">
        <v>164524.33080934751</v>
      </c>
      <c r="IM7" s="794">
        <f>IL7*IF7</f>
        <v>180976.76389028228</v>
      </c>
      <c r="IN7" s="955">
        <v>325990.28390059911</v>
      </c>
      <c r="IO7" s="995">
        <v>367613.333148323</v>
      </c>
      <c r="IP7" s="955">
        <v>54401.691454545457</v>
      </c>
      <c r="IQ7" s="794">
        <f t="shared" ref="IQ7:IQ24" si="27">IP7*$IG7</f>
        <v>61599.163665914195</v>
      </c>
      <c r="IR7" s="955">
        <v>32794.422727272722</v>
      </c>
      <c r="IS7" s="794">
        <f t="shared" ref="IS7:IS25" si="28">IR7*$IG7</f>
        <v>37133.20227541677</v>
      </c>
      <c r="IT7" s="955">
        <v>47430.550909090911</v>
      </c>
      <c r="IU7" s="794">
        <f t="shared" ref="IU7:IU25" si="29">IT7*$IG7</f>
        <v>53705.724768773696</v>
      </c>
      <c r="IV7" s="955">
        <v>218873.50455000001</v>
      </c>
      <c r="IW7" s="794">
        <f t="shared" ref="IW7:IW25" si="30">IV7*$IG7</f>
        <v>247830.98592022108</v>
      </c>
      <c r="IX7" s="650">
        <f t="shared" ref="IX7:IY26" si="31">IH7+IJ7+IL7+IN7+IP7+IT7+IV7+IR7</f>
        <v>1278455.7989960536</v>
      </c>
      <c r="IY7" s="650">
        <f t="shared" si="31"/>
        <v>1440777.7601833835</v>
      </c>
      <c r="IZ7" s="683">
        <f t="shared" si="4"/>
        <v>7.9125046258133382</v>
      </c>
      <c r="JD7" s="222">
        <v>2</v>
      </c>
      <c r="JE7" s="663">
        <v>2</v>
      </c>
      <c r="JF7" s="660">
        <f t="shared" si="5"/>
        <v>11</v>
      </c>
      <c r="JG7" s="660">
        <f t="shared" ref="JG7:JG18" si="32">JF7</f>
        <v>11</v>
      </c>
      <c r="JH7" s="905">
        <f t="shared" si="6"/>
        <v>18208871</v>
      </c>
      <c r="JI7" s="905">
        <f>JH7*$JK$26</f>
        <v>18245297.461603325</v>
      </c>
      <c r="JJ7" s="906">
        <f t="shared" ref="JJ7:JJ26" si="33">JG7/JF7</f>
        <v>1</v>
      </c>
      <c r="JK7" s="906">
        <f t="shared" ref="JK7:JK26" si="34">JI7/JH7</f>
        <v>1.0020004788656762</v>
      </c>
      <c r="JL7" s="906">
        <f t="shared" ref="JL7:JL25" si="35">LC8/LB8</f>
        <v>1.0315087886360619</v>
      </c>
      <c r="JM7" s="663" t="s">
        <v>238</v>
      </c>
      <c r="JN7" s="209"/>
      <c r="JO7" s="210"/>
      <c r="JP7" s="209"/>
      <c r="JQ7" s="222">
        <v>2</v>
      </c>
      <c r="JR7" s="663">
        <v>2</v>
      </c>
      <c r="JS7" s="912" t="str">
        <f t="shared" si="7"/>
        <v>Q3</v>
      </c>
      <c r="JT7" s="913">
        <f t="shared" si="8"/>
        <v>1.0315087886360619</v>
      </c>
      <c r="JU7" s="671">
        <f t="shared" ref="JU7:JU25" si="36">HR7</f>
        <v>3532.3530908229336</v>
      </c>
      <c r="JV7" s="671">
        <f t="shared" ref="JV7:JV25" si="37">JU7*JL7</f>
        <v>3643.6532577496132</v>
      </c>
      <c r="JW7" s="671">
        <f t="shared" si="9"/>
        <v>1993361</v>
      </c>
      <c r="JX7" s="671">
        <f t="shared" ref="JX7:JX25" si="38">HE7/$HE$26*$JX$26</f>
        <v>2012096.2317796866</v>
      </c>
      <c r="JY7" s="671">
        <f t="shared" si="10"/>
        <v>996780</v>
      </c>
      <c r="JZ7" s="671">
        <f t="shared" si="11"/>
        <v>904603.68505407043</v>
      </c>
      <c r="KA7" s="671">
        <f t="shared" ref="KA7:KA25" si="39">HX7</f>
        <v>247251.76703576761</v>
      </c>
      <c r="KB7" s="671">
        <f t="shared" ref="KB7:KB25" si="40">HE7/$HE$26*$KB$26</f>
        <v>39417.512887113298</v>
      </c>
      <c r="KC7" s="671">
        <f t="shared" ref="KC7:KD25" si="41">SUM(JU7,JY7,KA7)</f>
        <v>1247564.1201265906</v>
      </c>
      <c r="KD7" s="671">
        <f t="shared" si="41"/>
        <v>947664.85119893332</v>
      </c>
      <c r="KE7" s="211"/>
      <c r="KF7" s="210"/>
      <c r="KG7" s="209"/>
      <c r="KH7" s="245">
        <f>KH6+1</f>
        <v>2</v>
      </c>
      <c r="KI7" s="917">
        <v>1</v>
      </c>
      <c r="KJ7" s="918">
        <f>JJ6</f>
        <v>0.95238095238095233</v>
      </c>
      <c r="KK7" s="918">
        <f>JK6</f>
        <v>1.0020004788656762</v>
      </c>
      <c r="KL7" s="898">
        <v>1.6546666699999999</v>
      </c>
      <c r="KM7" s="801">
        <f>II6*KM$6/KL7*KK7</f>
        <v>495930.99926088186</v>
      </c>
      <c r="KN7" s="898">
        <v>1.6546666699999999</v>
      </c>
      <c r="KO7" s="801">
        <f t="shared" ref="KO7:KO26" si="42">IK6*KO$6/KN7*KK7</f>
        <v>69374.572706036328</v>
      </c>
      <c r="KP7" s="898">
        <v>1.6546666699999999</v>
      </c>
      <c r="KQ7" s="801">
        <f t="shared" ref="KQ7:KQ26" si="43">IM6*KQ$6/KP7*KJ7</f>
        <v>416848.66615704575</v>
      </c>
      <c r="KR7" s="898">
        <v>1.6546666699999999</v>
      </c>
      <c r="KS7" s="801">
        <f>IO6*KS$6/KR7*KJ7</f>
        <v>763908.33389588259</v>
      </c>
      <c r="KT7" s="898">
        <v>1.6546666699999999</v>
      </c>
      <c r="KU7" s="801">
        <f t="shared" ref="KU7:KU26" si="44">IQ6*KU$6/KT7*KK7</f>
        <v>85759.253982046183</v>
      </c>
      <c r="KV7" s="898">
        <v>1.6546666699999999</v>
      </c>
      <c r="KW7" s="801">
        <f t="shared" ref="KW7:KW26" si="45">IS6*KW$6/KV7*KK7</f>
        <v>22831.831576390017</v>
      </c>
      <c r="KX7" s="898">
        <v>1.6546666699999999</v>
      </c>
      <c r="KY7" s="801">
        <f t="shared" ref="KY7:KY26" si="46">IU6*KY$6/KX7*$KK7</f>
        <v>34140.285753883218</v>
      </c>
      <c r="KZ7" s="898">
        <v>1.6546666699999999</v>
      </c>
      <c r="LA7" s="919">
        <f t="shared" ref="LA7:LA26" si="47">IW6*LA$6/KZ7*$KK7</f>
        <v>180748.00174678568</v>
      </c>
      <c r="LB7" s="646">
        <f t="shared" ref="LB7:LB26" si="48">IY6</f>
        <v>2054460.5227337247</v>
      </c>
      <c r="LC7" s="646">
        <f>KM7+KO7+KQ7+KS7+KU7+KY7+LA7+KW7</f>
        <v>2069541.9450789515</v>
      </c>
      <c r="LD7" s="16"/>
      <c r="LE7" s="220"/>
      <c r="LG7" s="222">
        <v>2</v>
      </c>
      <c r="LH7" s="922">
        <v>2</v>
      </c>
      <c r="LI7" s="650">
        <f t="shared" si="12"/>
        <v>1054308.6768676287</v>
      </c>
      <c r="LJ7" s="650">
        <f t="shared" si="12"/>
        <v>1247564.1201265906</v>
      </c>
      <c r="LK7" s="794">
        <f t="shared" si="13"/>
        <v>947664.85119893332</v>
      </c>
      <c r="LL7" s="650">
        <f t="shared" si="14"/>
        <v>1278455.7989960536</v>
      </c>
      <c r="LM7" s="650">
        <f t="shared" si="14"/>
        <v>1440777.7601833835</v>
      </c>
      <c r="LN7" s="794">
        <f t="shared" ref="LN7:LN25" si="49">LC8</f>
        <v>1486174.9221005405</v>
      </c>
      <c r="LO7" s="792">
        <f t="shared" ref="LO7:LQ26" si="50">LI7-LL7</f>
        <v>-224147.12212842493</v>
      </c>
      <c r="LP7" s="650">
        <f t="shared" si="50"/>
        <v>-193213.64005679288</v>
      </c>
      <c r="LQ7" s="650">
        <f t="shared" si="50"/>
        <v>-538510.07090160716</v>
      </c>
      <c r="LS7" s="221"/>
      <c r="LT7" s="8"/>
      <c r="LU7" s="222">
        <f>LU6+1</f>
        <v>2</v>
      </c>
      <c r="LV7" s="812" t="s">
        <v>177</v>
      </c>
      <c r="LW7" s="650">
        <f>'DCA 8 month Phase I'!MC21</f>
        <v>110014126.44146076</v>
      </c>
      <c r="LX7" s="8"/>
      <c r="LY7" s="221"/>
      <c r="LZ7" s="8"/>
      <c r="MA7" s="192">
        <v>1</v>
      </c>
      <c r="MB7" s="194" t="s">
        <v>164</v>
      </c>
      <c r="MC7" s="197">
        <f>N7</f>
        <v>351446689.81595492</v>
      </c>
      <c r="MD7" s="246">
        <f t="shared" ref="MD7:MD12" si="51">MC7/$MC$34*100</f>
        <v>15.986036527888151</v>
      </c>
      <c r="ME7" s="29"/>
      <c r="MF7" s="247">
        <f>MF8+MF9</f>
        <v>367455484.15833747</v>
      </c>
      <c r="MG7" s="246">
        <f t="shared" ref="MG7:MG12" si="52">MF7/$MG$34*100</f>
        <v>16.714218578084143</v>
      </c>
      <c r="MI7" s="221"/>
      <c r="MJ7" s="8"/>
      <c r="MK7" s="192">
        <v>1</v>
      </c>
      <c r="ML7" s="248" t="str">
        <f t="shared" ref="ML7:ML21" si="53">MB7</f>
        <v>Revenue</v>
      </c>
      <c r="MM7" s="979">
        <v>371540376.1521095</v>
      </c>
      <c r="MN7" s="860">
        <f>MC7</f>
        <v>351446689.81595492</v>
      </c>
      <c r="MO7" s="860">
        <f>MN7-MM7</f>
        <v>-20093686.33615458</v>
      </c>
      <c r="MP7" s="830">
        <f>MO7/MM7</f>
        <v>-5.4082106887699814E-2</v>
      </c>
      <c r="MR7" s="221"/>
      <c r="MS7" s="8"/>
    </row>
    <row r="8" spans="1:405" s="29" customFormat="1" ht="16.5" x14ac:dyDescent="0.3">
      <c r="B8" s="181">
        <f>B7+1</f>
        <v>3</v>
      </c>
      <c r="C8" s="795"/>
      <c r="D8" s="796"/>
      <c r="E8" s="797" t="s">
        <v>178</v>
      </c>
      <c r="F8" s="798">
        <f>GQ8</f>
        <v>231071802</v>
      </c>
      <c r="G8" s="799">
        <f t="shared" si="15"/>
        <v>11.106155566619766</v>
      </c>
      <c r="H8" s="798">
        <f>GU8</f>
        <v>232634365.45454544</v>
      </c>
      <c r="I8" s="800">
        <f t="shared" si="16"/>
        <v>11.122685653687245</v>
      </c>
      <c r="J8" s="801">
        <f t="shared" ref="J8:J22" si="54">H8-F8</f>
        <v>1562563.4545454383</v>
      </c>
      <c r="K8" s="798">
        <f>HT26</f>
        <v>242214042</v>
      </c>
      <c r="L8" s="800">
        <f t="shared" si="17"/>
        <v>11.039479314047364</v>
      </c>
      <c r="M8" s="801">
        <f t="shared" ref="M8:M22" si="55">K8-H8</f>
        <v>9579676.5454545617</v>
      </c>
      <c r="N8" s="798">
        <f>JX26</f>
        <v>242446799.6069245</v>
      </c>
      <c r="O8" s="800">
        <f t="shared" si="18"/>
        <v>11.02802646004584</v>
      </c>
      <c r="P8" s="801">
        <f t="shared" ref="P8:P22" si="56">N8-K8</f>
        <v>232757.60692450404</v>
      </c>
      <c r="Q8" s="798">
        <f t="shared" ref="Q8:Q22" si="57">N8-F8</f>
        <v>11374997.606924504</v>
      </c>
      <c r="R8" s="802">
        <f t="shared" ref="R8:R22" si="58">O8/G8-1</f>
        <v>-7.0347570863087405E-3</v>
      </c>
      <c r="S8" s="12"/>
      <c r="T8" s="13"/>
      <c r="U8" s="12"/>
      <c r="V8" s="252">
        <f t="shared" ref="V8:V20" si="59">V7+1</f>
        <v>2</v>
      </c>
      <c r="W8" s="806" t="s">
        <v>179</v>
      </c>
      <c r="X8" s="807">
        <f>X7/F$24*100</f>
        <v>4.1593290299856978E-3</v>
      </c>
      <c r="Y8" s="800">
        <f>Y7/F$24*100</f>
        <v>0.15532862752540827</v>
      </c>
      <c r="Z8" s="800">
        <f>Z7/F$24*100</f>
        <v>0.18459865559869751</v>
      </c>
      <c r="AA8" s="800">
        <f>AA7/F$24*100</f>
        <v>0.34408661215409142</v>
      </c>
      <c r="AB8" s="227"/>
      <c r="AC8" s="233"/>
      <c r="AD8" s="13"/>
      <c r="AE8" s="12"/>
      <c r="AF8" s="252">
        <f>AF7+1</f>
        <v>2</v>
      </c>
      <c r="AG8" s="814" t="s">
        <v>180</v>
      </c>
      <c r="AH8" s="815">
        <f>AH7*3600/F$24</f>
        <v>3.0360493894810041</v>
      </c>
      <c r="AI8" s="815">
        <f>AI7*3600/F$24</f>
        <v>0.14937164723832172</v>
      </c>
      <c r="AJ8" s="815">
        <f>AJ7*3600/F$24</f>
        <v>0.98173262281648466</v>
      </c>
      <c r="AK8" s="12"/>
      <c r="AL8" s="13"/>
      <c r="AM8" s="12"/>
      <c r="AN8" s="192">
        <v>3</v>
      </c>
      <c r="AO8" s="254"/>
      <c r="AQ8" s="826" t="s">
        <v>178</v>
      </c>
      <c r="AR8" s="797"/>
      <c r="AS8" s="827">
        <v>79503570.349999994</v>
      </c>
      <c r="AT8" s="828">
        <v>7.7528122997362363</v>
      </c>
      <c r="AU8" s="829"/>
      <c r="AV8" s="827">
        <v>82983136.416666657</v>
      </c>
      <c r="AW8" s="828">
        <v>7.689473162491363</v>
      </c>
      <c r="AX8" s="830">
        <f>AW8/AT8-1</f>
        <v>-8.1698272570107644E-3</v>
      </c>
      <c r="AY8" s="829"/>
      <c r="AZ8" s="827">
        <v>98672863.5</v>
      </c>
      <c r="BA8" s="828">
        <v>7.6482480685877787</v>
      </c>
      <c r="BB8" s="830">
        <f>BA8/AW8-1</f>
        <v>-5.3612377639442599E-3</v>
      </c>
      <c r="BC8" s="829"/>
      <c r="BD8" s="827">
        <v>111397202</v>
      </c>
      <c r="BE8" s="828">
        <v>7.5748932801967008</v>
      </c>
      <c r="BF8" s="830">
        <f>BE8/BA8-1</f>
        <v>-9.5910576818701854E-3</v>
      </c>
      <c r="BG8" s="829"/>
      <c r="BH8" s="827">
        <v>116322907.89166664</v>
      </c>
      <c r="BI8" s="828">
        <v>7.6546287169214136</v>
      </c>
      <c r="BJ8" s="830">
        <f>BI8/BE8-1</f>
        <v>1.0526278559351843E-2</v>
      </c>
      <c r="BK8" s="829"/>
      <c r="BL8" s="827">
        <v>174683793.20000002</v>
      </c>
      <c r="BM8" s="828">
        <v>10.384673130282241</v>
      </c>
      <c r="BN8" s="830">
        <f>BM8/BI8-1</f>
        <v>0.35665275408143038</v>
      </c>
      <c r="BO8" s="829"/>
      <c r="BP8" s="827">
        <v>208646041.65000004</v>
      </c>
      <c r="BQ8" s="828">
        <v>11.249033527135891</v>
      </c>
      <c r="BR8" s="830">
        <f>BQ8/BM8-1</f>
        <v>8.3234242042065976E-2</v>
      </c>
      <c r="BS8" s="829"/>
      <c r="BT8" s="796">
        <v>219246568.60000002</v>
      </c>
      <c r="BU8" s="796">
        <v>11.174331831570692</v>
      </c>
      <c r="BV8" s="796">
        <f>BU8/BQ8-1</f>
        <v>-6.6407212126265991E-3</v>
      </c>
      <c r="BW8" s="258">
        <v>215103150.44999999</v>
      </c>
      <c r="BX8" s="259">
        <v>11.112344701929782</v>
      </c>
      <c r="BY8" s="831">
        <f t="shared" ref="BY8:BY20" si="60">BX8/BU8-1</f>
        <v>-5.5472784033295808E-3</v>
      </c>
      <c r="BZ8" s="831">
        <v>224292117.40000001</v>
      </c>
      <c r="CA8" s="831">
        <v>10.99526613822796</v>
      </c>
      <c r="CB8" s="831">
        <f t="shared" ref="CB8:CB20" si="61">CA8/BX8-1</f>
        <v>-1.0535901003996928E-2</v>
      </c>
      <c r="CC8" s="956">
        <v>228950330.75</v>
      </c>
      <c r="CD8" s="956">
        <v>11.015760438596976</v>
      </c>
      <c r="CE8" s="802">
        <f t="shared" ref="CE8:CE11" si="62">CD8/CA8-1</f>
        <v>1.8639203554848827E-3</v>
      </c>
      <c r="CF8" s="798">
        <f t="shared" si="19"/>
        <v>231071802</v>
      </c>
      <c r="CG8" s="831">
        <f t="shared" si="19"/>
        <v>11.106155566619766</v>
      </c>
      <c r="CH8" s="802">
        <f>CG8/CD8-1</f>
        <v>8.2059816502602079E-3</v>
      </c>
      <c r="CI8" s="832">
        <f t="shared" ref="CI8:CI19" si="63">CF8/AS8-1</f>
        <v>1.9064330190801302</v>
      </c>
      <c r="CJ8" s="802">
        <f>(CI8+1)^(1/(2022-2004))-1</f>
        <v>6.1065612459339613E-2</v>
      </c>
      <c r="CK8" s="12"/>
      <c r="CL8" s="13"/>
      <c r="CM8" s="12"/>
      <c r="CN8" s="263">
        <v>3</v>
      </c>
      <c r="CO8" s="962" t="s">
        <v>70</v>
      </c>
      <c r="CP8" s="863">
        <v>940976.42963654397</v>
      </c>
      <c r="CQ8" s="863">
        <v>17441604.080599997</v>
      </c>
      <c r="CR8" s="863">
        <v>2682727.8284999998</v>
      </c>
      <c r="CS8" s="864">
        <f>CR8+CQ8</f>
        <v>20124331.909099996</v>
      </c>
      <c r="CT8" s="862">
        <v>947926.42963654408</v>
      </c>
      <c r="CU8" s="863">
        <v>17578043.740599997</v>
      </c>
      <c r="CV8" s="863">
        <v>1959514.4296093306</v>
      </c>
      <c r="CW8" s="863">
        <f>CV8+CU8</f>
        <v>19537558.17020933</v>
      </c>
      <c r="CX8" s="198"/>
      <c r="CY8" s="20"/>
      <c r="CZ8" s="12"/>
      <c r="DA8" s="263">
        <v>3</v>
      </c>
      <c r="DB8" s="964" t="s">
        <v>70</v>
      </c>
      <c r="DC8" s="867">
        <v>41201.303690476198</v>
      </c>
      <c r="DD8" s="864">
        <v>804382.34765000001</v>
      </c>
      <c r="DE8" s="867">
        <v>41201.30369047619</v>
      </c>
      <c r="DF8" s="863">
        <v>804382.34764999989</v>
      </c>
      <c r="DG8" s="863">
        <v>804382.34765000001</v>
      </c>
      <c r="DH8" s="12"/>
      <c r="DI8" s="20"/>
      <c r="DJ8" s="12"/>
      <c r="DK8" s="263">
        <v>3</v>
      </c>
      <c r="DL8" s="966" t="s">
        <v>70</v>
      </c>
      <c r="DM8" s="867">
        <v>237610.0799464286</v>
      </c>
      <c r="DN8" s="864">
        <v>7476293.3502500001</v>
      </c>
      <c r="DO8" s="867">
        <v>239547.0799464286</v>
      </c>
      <c r="DP8" s="863">
        <v>8260756.9691406693</v>
      </c>
      <c r="DQ8" s="12"/>
      <c r="DR8" s="13"/>
      <c r="DS8" s="12"/>
      <c r="DT8" s="192">
        <v>3</v>
      </c>
      <c r="DU8" s="873" t="s">
        <v>181</v>
      </c>
      <c r="DV8" s="860">
        <v>2850509.1129999999</v>
      </c>
      <c r="DW8" s="860">
        <v>5975213.4032000005</v>
      </c>
      <c r="DX8" s="860">
        <v>12662919</v>
      </c>
      <c r="DY8" s="860">
        <v>21488641.516199999</v>
      </c>
      <c r="DZ8" s="798"/>
      <c r="EA8" s="860"/>
      <c r="EB8" s="860"/>
      <c r="EC8" s="860"/>
      <c r="ED8" s="18"/>
      <c r="EE8" s="264"/>
      <c r="EF8" s="18"/>
      <c r="EG8" s="263">
        <v>3</v>
      </c>
      <c r="EH8" s="970" t="s">
        <v>182</v>
      </c>
      <c r="EI8" s="860">
        <v>125804.27599999998</v>
      </c>
      <c r="EJ8" s="860">
        <v>273710.98</v>
      </c>
      <c r="EK8" s="860">
        <v>840589.31451599998</v>
      </c>
      <c r="EL8" s="801">
        <f>SUM(EI8:EK8)</f>
        <v>1240104.570516</v>
      </c>
      <c r="EM8" s="860">
        <v>125804.27599999998</v>
      </c>
      <c r="EN8" s="860">
        <v>273710.98</v>
      </c>
      <c r="EO8" s="860">
        <v>840589.31451599998</v>
      </c>
      <c r="EP8" s="860">
        <f>SUM(EM8:EO8)</f>
        <v>1240104.570516</v>
      </c>
      <c r="EQ8" s="16"/>
      <c r="ER8" s="20"/>
      <c r="ES8" s="12"/>
      <c r="ET8" s="263">
        <v>3</v>
      </c>
      <c r="EU8" s="876" t="s">
        <v>182</v>
      </c>
      <c r="EV8" s="955">
        <v>971516.0340000001</v>
      </c>
      <c r="EW8" s="955">
        <v>854178.56000000017</v>
      </c>
      <c r="EX8" s="955">
        <v>978091.87800000014</v>
      </c>
      <c r="EY8" s="801">
        <f>SUM(EV8:EX8)</f>
        <v>2803786.4720000005</v>
      </c>
      <c r="EZ8" s="955">
        <v>924269.45366363646</v>
      </c>
      <c r="FA8" s="955">
        <v>811720.19961666677</v>
      </c>
      <c r="FB8" s="955">
        <v>956101.68350000028</v>
      </c>
      <c r="FC8" s="801">
        <f>SUM(EZ8:FB8)</f>
        <v>2692091.3367803036</v>
      </c>
      <c r="FD8" s="860">
        <f>(FC8/$FC$9)*$FD$9</f>
        <v>1966319.5531548369</v>
      </c>
      <c r="FE8" s="860">
        <f>(FC8/$FC$9)*$FE$9</f>
        <v>725772.13740509457</v>
      </c>
      <c r="FF8" s="860">
        <f t="shared" si="20"/>
        <v>2692091.6905599316</v>
      </c>
      <c r="FG8" s="16"/>
      <c r="FH8" s="20"/>
      <c r="FI8" s="12"/>
      <c r="FJ8" s="192">
        <f>FJ7+1</f>
        <v>3</v>
      </c>
      <c r="FK8" s="265"/>
      <c r="FL8" s="878" t="s">
        <v>183</v>
      </c>
      <c r="FM8" s="860">
        <v>188892.37299999996</v>
      </c>
      <c r="FN8" s="860">
        <v>275252.03999999998</v>
      </c>
      <c r="FO8" s="860">
        <v>460452.28275999997</v>
      </c>
      <c r="FP8" s="801">
        <f t="shared" si="21"/>
        <v>924596.69576000003</v>
      </c>
      <c r="FQ8" s="860">
        <v>189243.32754545452</v>
      </c>
      <c r="FR8" s="860">
        <v>275252.03999999998</v>
      </c>
      <c r="FS8" s="860">
        <v>462708.78275999997</v>
      </c>
      <c r="FT8" s="860">
        <v>927204.15030545439</v>
      </c>
      <c r="FU8" s="955">
        <v>927204.15030545439</v>
      </c>
      <c r="FV8" s="16"/>
      <c r="FW8" s="266"/>
      <c r="FX8" s="12"/>
      <c r="FY8" s="192">
        <v>3</v>
      </c>
      <c r="FZ8" s="969" t="s">
        <v>184</v>
      </c>
      <c r="GA8" s="860">
        <v>0</v>
      </c>
      <c r="GB8" s="860">
        <v>1585.69</v>
      </c>
      <c r="GC8" s="860">
        <v>4560.8500000000004</v>
      </c>
      <c r="GD8" s="801">
        <f t="shared" si="1"/>
        <v>6146.5400000000009</v>
      </c>
      <c r="GE8" s="860">
        <v>0</v>
      </c>
      <c r="GF8" s="860">
        <v>1585.69</v>
      </c>
      <c r="GG8" s="860">
        <v>4560.8499999999995</v>
      </c>
      <c r="GH8" s="860">
        <f>SUM(GE8:GG8)</f>
        <v>6146.5399999999991</v>
      </c>
      <c r="GI8" s="202"/>
      <c r="GJ8" s="203"/>
      <c r="GK8" s="12"/>
      <c r="GL8" s="192">
        <v>3</v>
      </c>
      <c r="GM8" s="974" t="s">
        <v>185</v>
      </c>
      <c r="GN8" s="860">
        <v>32659360</v>
      </c>
      <c r="GO8" s="860">
        <v>73143841</v>
      </c>
      <c r="GP8" s="860">
        <v>125268601</v>
      </c>
      <c r="GQ8" s="801">
        <f>SUM(GN8:GP8)</f>
        <v>231071802</v>
      </c>
      <c r="GR8" s="860">
        <v>32785892.454545457</v>
      </c>
      <c r="GS8" s="860">
        <v>73143841</v>
      </c>
      <c r="GT8" s="860">
        <v>126704632</v>
      </c>
      <c r="GU8" s="860">
        <f>SUM(GR8:GT8)</f>
        <v>232634365.45454544</v>
      </c>
      <c r="GV8" s="12"/>
      <c r="GW8" s="13"/>
      <c r="GX8" s="12"/>
      <c r="GY8" s="12"/>
      <c r="GZ8" s="192">
        <v>3</v>
      </c>
      <c r="HA8" s="886">
        <v>3</v>
      </c>
      <c r="HB8" s="886">
        <v>10</v>
      </c>
      <c r="HC8" s="886">
        <v>12</v>
      </c>
      <c r="HD8" s="887">
        <v>20344988.5</v>
      </c>
      <c r="HE8" s="887">
        <v>32658783</v>
      </c>
      <c r="HF8" s="800">
        <f t="shared" si="22"/>
        <v>1.2</v>
      </c>
      <c r="HG8" s="800">
        <f t="shared" si="23"/>
        <v>1.6052495188188483</v>
      </c>
      <c r="HH8" s="802">
        <v>0.91666666666666663</v>
      </c>
      <c r="HI8" s="802">
        <v>8.3333333333333329E-2</v>
      </c>
      <c r="HJ8" s="802">
        <v>0</v>
      </c>
      <c r="HK8" s="12"/>
      <c r="HL8" s="13"/>
      <c r="HM8" s="12"/>
      <c r="HN8" s="267">
        <v>3</v>
      </c>
      <c r="HO8" s="892">
        <v>3</v>
      </c>
      <c r="HP8" s="799">
        <f t="shared" si="2"/>
        <v>1.6052495188188483</v>
      </c>
      <c r="HQ8" s="860">
        <v>1380.25</v>
      </c>
      <c r="HR8" s="801">
        <f t="shared" si="24"/>
        <v>2215.6456483497154</v>
      </c>
      <c r="HS8" s="860">
        <v>3040578</v>
      </c>
      <c r="HT8" s="975">
        <v>3540202</v>
      </c>
      <c r="HU8" s="860">
        <v>1529821.8165000002</v>
      </c>
      <c r="HV8" s="975">
        <v>1806306</v>
      </c>
      <c r="HW8" s="860">
        <v>225000</v>
      </c>
      <c r="HX8" s="955">
        <v>270000</v>
      </c>
      <c r="HY8" s="860">
        <f t="shared" si="25"/>
        <v>1756202.0665000002</v>
      </c>
      <c r="HZ8" s="860">
        <f t="shared" si="25"/>
        <v>2078521.6456483498</v>
      </c>
      <c r="IA8" s="206"/>
      <c r="IB8" s="207"/>
      <c r="IC8" s="206"/>
      <c r="ID8" s="208">
        <v>3</v>
      </c>
      <c r="IE8" s="892">
        <v>3</v>
      </c>
      <c r="IF8" s="896">
        <f t="shared" si="3"/>
        <v>1.2</v>
      </c>
      <c r="IG8" s="897">
        <f t="shared" si="3"/>
        <v>1.6052495188188483</v>
      </c>
      <c r="IH8" s="955">
        <v>577305.36855060607</v>
      </c>
      <c r="II8" s="801">
        <f t="shared" ref="II8:II25" si="64">IH8*$IG8</f>
        <v>926719.1650773983</v>
      </c>
      <c r="IJ8" s="955">
        <v>32067.097500000003</v>
      </c>
      <c r="IK8" s="801">
        <f>IJ8*$IG8</f>
        <v>51475.692831792097</v>
      </c>
      <c r="IL8" s="955">
        <v>345698.17394939391</v>
      </c>
      <c r="IM8" s="801">
        <f>IL8*IF8</f>
        <v>414837.8087392727</v>
      </c>
      <c r="IN8" s="955">
        <v>450099.62629260041</v>
      </c>
      <c r="IO8" s="995">
        <v>568283.17533084238</v>
      </c>
      <c r="IP8" s="955">
        <v>59748.991000000009</v>
      </c>
      <c r="IQ8" s="801">
        <f t="shared" si="27"/>
        <v>95912.039052661712</v>
      </c>
      <c r="IR8" s="955">
        <v>52762.979000000007</v>
      </c>
      <c r="IS8" s="801">
        <f t="shared" si="28"/>
        <v>84697.746651199006</v>
      </c>
      <c r="IT8" s="955">
        <v>8488.5190000000002</v>
      </c>
      <c r="IU8" s="801">
        <f t="shared" si="29"/>
        <v>13626.191040234651</v>
      </c>
      <c r="IV8" s="955">
        <v>172420.86052500003</v>
      </c>
      <c r="IW8" s="801">
        <f t="shared" si="30"/>
        <v>276778.50339208805</v>
      </c>
      <c r="IX8" s="860">
        <f t="shared" si="31"/>
        <v>1698591.6158176006</v>
      </c>
      <c r="IY8" s="860">
        <f t="shared" si="31"/>
        <v>2432330.3221154893</v>
      </c>
      <c r="IZ8" s="898">
        <f t="shared" si="4"/>
        <v>7.4477065545139549</v>
      </c>
      <c r="JA8" s="12"/>
      <c r="JB8" s="13"/>
      <c r="JC8" s="12"/>
      <c r="JD8" s="192">
        <v>3</v>
      </c>
      <c r="JE8" s="886">
        <v>3</v>
      </c>
      <c r="JF8" s="796">
        <f t="shared" si="5"/>
        <v>12</v>
      </c>
      <c r="JG8" s="977">
        <v>11</v>
      </c>
      <c r="JH8" s="859">
        <f t="shared" si="6"/>
        <v>32658783</v>
      </c>
      <c r="JI8" s="859">
        <f>JH8*$JK$26</f>
        <v>32724116.205170207</v>
      </c>
      <c r="JJ8" s="904">
        <f t="shared" si="33"/>
        <v>0.91666666666666663</v>
      </c>
      <c r="JK8" s="904">
        <f t="shared" si="34"/>
        <v>1.0020004788656762</v>
      </c>
      <c r="JL8" s="904">
        <f t="shared" si="35"/>
        <v>1.0015789306385083</v>
      </c>
      <c r="JM8" s="886" t="s">
        <v>424</v>
      </c>
      <c r="JN8" s="209"/>
      <c r="JO8" s="210"/>
      <c r="JP8" s="209"/>
      <c r="JQ8" s="192">
        <v>3</v>
      </c>
      <c r="JR8" s="886">
        <v>3</v>
      </c>
      <c r="JS8" s="910" t="str">
        <f t="shared" si="7"/>
        <v>Q4</v>
      </c>
      <c r="JT8" s="911">
        <f t="shared" si="8"/>
        <v>1.0015789306385083</v>
      </c>
      <c r="JU8" s="860">
        <f t="shared" si="36"/>
        <v>2215.6456483497154</v>
      </c>
      <c r="JV8" s="860">
        <f t="shared" si="37"/>
        <v>2219.1439991479724</v>
      </c>
      <c r="JW8" s="860">
        <f t="shared" si="9"/>
        <v>3540202</v>
      </c>
      <c r="JX8" s="860">
        <f t="shared" si="38"/>
        <v>3608824.193922319</v>
      </c>
      <c r="JY8" s="860">
        <f t="shared" si="10"/>
        <v>1806306</v>
      </c>
      <c r="JZ8" s="860">
        <f t="shared" si="11"/>
        <v>1622464.976064756</v>
      </c>
      <c r="KA8" s="860">
        <f t="shared" si="39"/>
        <v>270000</v>
      </c>
      <c r="KB8" s="860">
        <f t="shared" si="40"/>
        <v>70697.848305912907</v>
      </c>
      <c r="KC8" s="860">
        <f t="shared" si="41"/>
        <v>2078521.6456483498</v>
      </c>
      <c r="KD8" s="860">
        <f t="shared" si="41"/>
        <v>1695381.9683698169</v>
      </c>
      <c r="KE8" s="211"/>
      <c r="KF8" s="210"/>
      <c r="KG8" s="209"/>
      <c r="KH8" s="243">
        <f t="shared" ref="KH8:KH28" si="65">KH7+1</f>
        <v>3</v>
      </c>
      <c r="KI8" s="891">
        <v>2</v>
      </c>
      <c r="KJ8" s="920">
        <f t="shared" ref="KJ8:KK27" si="66">JJ7</f>
        <v>1</v>
      </c>
      <c r="KK8" s="920">
        <f t="shared" si="66"/>
        <v>1.0020004788656762</v>
      </c>
      <c r="KL8" s="683">
        <v>1.6626666699999999</v>
      </c>
      <c r="KM8" s="794">
        <f t="shared" ref="KM8:KM26" si="67">II7*KM$6/KL8*JK7</f>
        <v>473178.92712064553</v>
      </c>
      <c r="KN8" s="683">
        <v>1.6626666699999999</v>
      </c>
      <c r="KO8" s="794">
        <f t="shared" si="42"/>
        <v>34625.441390983586</v>
      </c>
      <c r="KP8" s="683">
        <v>1.6626666699999999</v>
      </c>
      <c r="KQ8" s="794">
        <f t="shared" si="43"/>
        <v>186448.15477835533</v>
      </c>
      <c r="KR8" s="683">
        <v>1.6626666699999999</v>
      </c>
      <c r="KS8" s="794">
        <f t="shared" ref="KS8:KS26" si="68">IO7*KS$6/KR8*KJ8</f>
        <v>378727.2253303121</v>
      </c>
      <c r="KT8" s="683">
        <v>1.6626666699999999</v>
      </c>
      <c r="KU8" s="794">
        <f t="shared" si="44"/>
        <v>63588.417400233848</v>
      </c>
      <c r="KV8" s="683">
        <v>1.6626666699999999</v>
      </c>
      <c r="KW8" s="794">
        <f t="shared" si="45"/>
        <v>38332.364031804289</v>
      </c>
      <c r="KX8" s="683">
        <v>1.6626666699999999</v>
      </c>
      <c r="KY8" s="794">
        <f t="shared" si="46"/>
        <v>55440.071587669598</v>
      </c>
      <c r="KZ8" s="683">
        <v>1.6626666699999999</v>
      </c>
      <c r="LA8" s="794">
        <f t="shared" si="47"/>
        <v>255834.32046053596</v>
      </c>
      <c r="LB8" s="650">
        <f t="shared" si="48"/>
        <v>1440777.7601833835</v>
      </c>
      <c r="LC8" s="650">
        <f>KM8+KO8+KQ8+KS8+KU8+KY8+LA8+KW8</f>
        <v>1486174.9221005405</v>
      </c>
      <c r="LD8" s="16"/>
      <c r="LE8" s="220"/>
      <c r="LF8" s="12"/>
      <c r="LG8" s="192">
        <v>3</v>
      </c>
      <c r="LH8" s="921">
        <v>3</v>
      </c>
      <c r="LI8" s="860">
        <f t="shared" si="12"/>
        <v>1756202.0665000002</v>
      </c>
      <c r="LJ8" s="860">
        <f t="shared" si="12"/>
        <v>2078521.6456483498</v>
      </c>
      <c r="LK8" s="801">
        <f t="shared" si="13"/>
        <v>1695381.9683698169</v>
      </c>
      <c r="LL8" s="860">
        <f t="shared" si="14"/>
        <v>1698591.6158176006</v>
      </c>
      <c r="LM8" s="860">
        <f t="shared" si="14"/>
        <v>2432330.3221154893</v>
      </c>
      <c r="LN8" s="801">
        <f t="shared" si="49"/>
        <v>2436170.8029840505</v>
      </c>
      <c r="LO8" s="860">
        <f t="shared" si="50"/>
        <v>57610.450682399562</v>
      </c>
      <c r="LP8" s="860">
        <f t="shared" si="50"/>
        <v>-353808.67646713951</v>
      </c>
      <c r="LQ8" s="860">
        <f t="shared" si="50"/>
        <v>-740788.83461423358</v>
      </c>
      <c r="LR8" s="12"/>
      <c r="LS8" s="13"/>
      <c r="LT8" s="12"/>
      <c r="LU8" s="192">
        <f t="shared" ref="LU8:LU13" si="69">LU7+1</f>
        <v>3</v>
      </c>
      <c r="LV8" s="923" t="s">
        <v>42</v>
      </c>
      <c r="LW8" s="924">
        <f>'DCA 8 month Phase I'!MC8</f>
        <v>242446799.6069245</v>
      </c>
      <c r="LX8" s="12"/>
      <c r="LY8" s="13"/>
      <c r="LZ8" s="12"/>
      <c r="MA8" s="222">
        <f>MA7+1</f>
        <v>2</v>
      </c>
      <c r="MB8" s="812" t="s">
        <v>178</v>
      </c>
      <c r="MC8" s="650">
        <f>N8</f>
        <v>242446799.6069245</v>
      </c>
      <c r="MD8" s="747">
        <f t="shared" si="51"/>
        <v>11.02802646004584</v>
      </c>
      <c r="ME8" s="660"/>
      <c r="MF8" s="792">
        <f>MC8</f>
        <v>242446799.6069245</v>
      </c>
      <c r="MG8" s="747">
        <f t="shared" si="52"/>
        <v>11.02802646004584</v>
      </c>
      <c r="MH8" s="12"/>
      <c r="MI8" s="13"/>
      <c r="MJ8" s="12"/>
      <c r="MK8" s="222">
        <f>MK7+1</f>
        <v>2</v>
      </c>
      <c r="ML8" s="812" t="str">
        <f t="shared" si="53"/>
        <v>Less Purchases</v>
      </c>
      <c r="MM8" s="979">
        <v>239866309.41368827</v>
      </c>
      <c r="MN8" s="650">
        <f>MC8</f>
        <v>242446799.6069245</v>
      </c>
      <c r="MO8" s="650">
        <f t="shared" ref="MO8:MO32" si="70">MN8-MM8</f>
        <v>2580490.1932362318</v>
      </c>
      <c r="MP8" s="723">
        <f t="shared" ref="MP8:MP31" si="71">MO8/MM8</f>
        <v>1.0758035171941379E-2</v>
      </c>
      <c r="MQ8" s="12"/>
      <c r="MR8" s="13"/>
      <c r="MS8" s="12"/>
    </row>
    <row r="9" spans="1:405" ht="17.25" thickBot="1" x14ac:dyDescent="0.35">
      <c r="B9" s="143">
        <f t="shared" ref="B9:B22" si="72">B8+1</f>
        <v>4</v>
      </c>
      <c r="C9" s="790"/>
      <c r="D9" s="660" t="s">
        <v>186</v>
      </c>
      <c r="E9" s="791"/>
      <c r="F9" s="792">
        <f>F7-F8</f>
        <v>105753896.93769997</v>
      </c>
      <c r="G9" s="793">
        <f t="shared" si="15"/>
        <v>5.0829189065932399</v>
      </c>
      <c r="H9" s="792">
        <f>H7-H8</f>
        <v>101535048.82577825</v>
      </c>
      <c r="I9" s="724">
        <f t="shared" si="16"/>
        <v>4.8545812597992137</v>
      </c>
      <c r="J9" s="794">
        <f t="shared" si="54"/>
        <v>-4218848.1119217277</v>
      </c>
      <c r="K9" s="792">
        <f>HV26</f>
        <v>123895104</v>
      </c>
      <c r="L9" s="724">
        <f t="shared" si="17"/>
        <v>5.6468131509887716</v>
      </c>
      <c r="M9" s="794">
        <f t="shared" si="55"/>
        <v>22360055.174221754</v>
      </c>
      <c r="N9" s="792">
        <f>JZ26</f>
        <v>108999890.20903042</v>
      </c>
      <c r="O9" s="724">
        <f t="shared" si="18"/>
        <v>4.9580100678423111</v>
      </c>
      <c r="P9" s="794">
        <f t="shared" si="56"/>
        <v>-14895213.79096958</v>
      </c>
      <c r="Q9" s="792">
        <f t="shared" si="57"/>
        <v>3245993.271330446</v>
      </c>
      <c r="R9" s="723">
        <f>O9/G9-1</f>
        <v>-2.4574234027008535E-2</v>
      </c>
      <c r="V9" s="185"/>
      <c r="W9" s="186" t="s">
        <v>24</v>
      </c>
      <c r="X9" s="269"/>
      <c r="Y9" s="270"/>
      <c r="Z9" s="270"/>
      <c r="AA9" s="270"/>
      <c r="AB9" s="189"/>
      <c r="AC9" s="234"/>
      <c r="AF9" s="271">
        <f t="shared" ref="AF9:AF21" si="73">AF8+1</f>
        <v>3</v>
      </c>
      <c r="AG9" s="816" t="s">
        <v>187</v>
      </c>
      <c r="AH9" s="817">
        <f>F14/AH7</f>
        <v>21.657528709018845</v>
      </c>
      <c r="AI9" s="817">
        <f>F15/AI7</f>
        <v>20.908375447703264</v>
      </c>
      <c r="AJ9" s="817">
        <f>F16/AJ7</f>
        <v>29.122560090542329</v>
      </c>
      <c r="AL9" s="273"/>
      <c r="AN9" s="222">
        <v>4</v>
      </c>
      <c r="AO9" s="18"/>
      <c r="AQ9" s="660" t="s">
        <v>188</v>
      </c>
      <c r="AR9" s="791"/>
      <c r="AS9" s="821">
        <v>40798541.478400007</v>
      </c>
      <c r="AT9" s="822">
        <v>3.9784808756709964</v>
      </c>
      <c r="AU9" s="783"/>
      <c r="AV9" s="821">
        <v>43143142.145199999</v>
      </c>
      <c r="AW9" s="822">
        <v>3.9977765121497129</v>
      </c>
      <c r="AX9" s="823">
        <f>AW9/AT9-1</f>
        <v>4.8500010636502999E-3</v>
      </c>
      <c r="AY9" s="783"/>
      <c r="AZ9" s="821">
        <v>52055496.75</v>
      </c>
      <c r="BA9" s="822">
        <v>4.0348819154069133</v>
      </c>
      <c r="BB9" s="823">
        <f>BA9/AW9-1</f>
        <v>9.2815101455603344E-3</v>
      </c>
      <c r="BC9" s="783"/>
      <c r="BD9" s="821">
        <v>59830706</v>
      </c>
      <c r="BE9" s="822">
        <v>4.0684254603524463</v>
      </c>
      <c r="BF9" s="823">
        <f>BE9/BA9-1</f>
        <v>8.313389499070345E-3</v>
      </c>
      <c r="BG9" s="783"/>
      <c r="BH9" s="821">
        <v>59786661.226033345</v>
      </c>
      <c r="BI9" s="822">
        <v>3.9342611202245616</v>
      </c>
      <c r="BJ9" s="823">
        <f>BI9/BE9-1</f>
        <v>-3.2976968961417885E-2</v>
      </c>
      <c r="BK9" s="783"/>
      <c r="BL9" s="821">
        <v>66021321</v>
      </c>
      <c r="BM9" s="822">
        <v>3.9248623221128827</v>
      </c>
      <c r="BN9" s="823">
        <f>BM9/BI9-1</f>
        <v>-2.3889614401452208E-3</v>
      </c>
      <c r="BO9" s="783"/>
      <c r="BP9" s="821">
        <v>81963127.490000069</v>
      </c>
      <c r="BQ9" s="822">
        <v>4.4189957395433002</v>
      </c>
      <c r="BR9" s="823">
        <f>BQ9/BM9-1</f>
        <v>0.12589828046870433</v>
      </c>
      <c r="BS9" s="783"/>
      <c r="BT9" s="660">
        <v>94550736.985399961</v>
      </c>
      <c r="BU9" s="660">
        <v>4.8189639488589151</v>
      </c>
      <c r="BV9" s="660">
        <f>BU9/BQ9-1</f>
        <v>9.0511109964761305E-2</v>
      </c>
      <c r="BW9" s="237">
        <v>96385423.959800005</v>
      </c>
      <c r="BX9" s="238">
        <v>4.9793229575775362</v>
      </c>
      <c r="BY9" s="824">
        <f t="shared" si="60"/>
        <v>3.3276656646620495E-2</v>
      </c>
      <c r="BZ9" s="824">
        <v>104384344.36159995</v>
      </c>
      <c r="CA9" s="824">
        <v>5.1171376873373191</v>
      </c>
      <c r="CB9" s="824">
        <f t="shared" si="61"/>
        <v>2.7677403320476746E-2</v>
      </c>
      <c r="CC9" s="956">
        <v>97424965.908500075</v>
      </c>
      <c r="CD9" s="956">
        <v>4.6875236286878099</v>
      </c>
      <c r="CE9" s="723">
        <f t="shared" si="62"/>
        <v>-8.3955931010536666E-2</v>
      </c>
      <c r="CF9" s="792">
        <f t="shared" si="19"/>
        <v>105753896.93769997</v>
      </c>
      <c r="CG9" s="824">
        <f t="shared" si="19"/>
        <v>5.0829189065932399</v>
      </c>
      <c r="CH9" s="723">
        <f>CG9/CD9-1</f>
        <v>8.4350567426603851E-2</v>
      </c>
      <c r="CI9" s="825">
        <f t="shared" si="63"/>
        <v>1.5920999404767771</v>
      </c>
      <c r="CJ9" s="723">
        <f t="shared" ref="CJ9:CJ11" si="74">(CI9+1)^(1/(2022-2004))-1</f>
        <v>5.4339924883815671E-2</v>
      </c>
      <c r="CN9" s="274">
        <v>4</v>
      </c>
      <c r="CO9" s="275" t="s">
        <v>71</v>
      </c>
      <c r="CP9" s="276">
        <f t="shared" ref="CP9:CW9" si="75">SUM(CP6:CP8)</f>
        <v>1754646.0788748774</v>
      </c>
      <c r="CQ9" s="277">
        <f t="shared" si="75"/>
        <v>32674880.229199998</v>
      </c>
      <c r="CR9" s="277">
        <f t="shared" si="75"/>
        <v>5326417.5981999999</v>
      </c>
      <c r="CS9" s="278">
        <f t="shared" si="75"/>
        <v>38001297.827399999</v>
      </c>
      <c r="CT9" s="276">
        <f t="shared" si="75"/>
        <v>1762701.0470566959</v>
      </c>
      <c r="CU9" s="277">
        <f t="shared" si="75"/>
        <v>32842218.314654544</v>
      </c>
      <c r="CV9" s="277">
        <f t="shared" si="75"/>
        <v>3970981.5330281532</v>
      </c>
      <c r="CW9" s="277">
        <f t="shared" si="75"/>
        <v>36813199.8476827</v>
      </c>
      <c r="CY9" s="20"/>
      <c r="DA9" s="274">
        <v>4</v>
      </c>
      <c r="DB9" s="275" t="s">
        <v>71</v>
      </c>
      <c r="DC9" s="279">
        <f>SUM(DC6:DC8)</f>
        <v>86327.441190476195</v>
      </c>
      <c r="DD9" s="868">
        <f>SUM(DD6:DD8)</f>
        <v>1804966.5518499999</v>
      </c>
      <c r="DE9" s="279">
        <f>SUM(DE6:DE8)</f>
        <v>86370.623008658004</v>
      </c>
      <c r="DF9" s="869">
        <f>SUM(DF6:DF8)</f>
        <v>1805841.8473045453</v>
      </c>
      <c r="DG9" s="869">
        <f>SUM(DG6:DG8)</f>
        <v>1805841.8473045453</v>
      </c>
      <c r="DI9" s="20"/>
      <c r="DK9" s="274">
        <v>4</v>
      </c>
      <c r="DL9" s="275" t="s">
        <v>71</v>
      </c>
      <c r="DM9" s="279">
        <f>SUM(DM6:DM8)</f>
        <v>567379.8664464287</v>
      </c>
      <c r="DN9" s="280">
        <f>SUM(DN6:DN8)</f>
        <v>16523554.25475</v>
      </c>
      <c r="DO9" s="279">
        <f>SUM(DO6:DO8)</f>
        <v>570064.6364464286</v>
      </c>
      <c r="DP9" s="281">
        <f>SUM(DP6:DP8)</f>
        <v>17962433.615376391</v>
      </c>
      <c r="DT9" s="222">
        <v>4</v>
      </c>
      <c r="DU9" s="733" t="s">
        <v>189</v>
      </c>
      <c r="DV9" s="650">
        <v>745102.29810000001</v>
      </c>
      <c r="DW9" s="650">
        <v>846858.39999999991</v>
      </c>
      <c r="DX9" s="650">
        <v>1366842.7921999996</v>
      </c>
      <c r="DY9" s="650">
        <v>2958803.4902999997</v>
      </c>
      <c r="DZ9" s="792"/>
      <c r="EA9" s="650"/>
      <c r="EB9" s="650"/>
      <c r="EC9" s="650"/>
      <c r="EG9" s="282">
        <v>4</v>
      </c>
      <c r="EH9" s="283" t="s">
        <v>71</v>
      </c>
      <c r="EI9" s="284">
        <f t="shared" ref="EI9:EO9" si="76">SUM(EI6:EI8)</f>
        <v>451090.18599999999</v>
      </c>
      <c r="EJ9" s="284">
        <f t="shared" si="76"/>
        <v>1817830.5189999999</v>
      </c>
      <c r="EK9" s="284">
        <f t="shared" si="76"/>
        <v>3631481.501164</v>
      </c>
      <c r="EL9" s="285">
        <f t="shared" si="76"/>
        <v>5900402.2061640006</v>
      </c>
      <c r="EM9" s="284">
        <f t="shared" si="76"/>
        <v>449815.8674539472</v>
      </c>
      <c r="EN9" s="284">
        <f t="shared" si="76"/>
        <v>1817830.5189999999</v>
      </c>
      <c r="EO9" s="284">
        <f t="shared" si="76"/>
        <v>3675012.1308598211</v>
      </c>
      <c r="EP9" s="284">
        <f>SUM(EP6:EP8)</f>
        <v>5942658.5173137691</v>
      </c>
      <c r="EQ9" s="16"/>
      <c r="ER9" s="266"/>
      <c r="ET9" s="282">
        <v>4</v>
      </c>
      <c r="EU9" s="283" t="s">
        <v>71</v>
      </c>
      <c r="EV9" s="284">
        <f t="shared" ref="EV9:FC9" si="77">SUM(EV6:EV8)</f>
        <v>1227455.1140000001</v>
      </c>
      <c r="EW9" s="284">
        <f t="shared" si="77"/>
        <v>1152595.8190000001</v>
      </c>
      <c r="EX9" s="284">
        <f t="shared" si="77"/>
        <v>1416596.2439999999</v>
      </c>
      <c r="EY9" s="285">
        <f t="shared" si="77"/>
        <v>3796647.1770000006</v>
      </c>
      <c r="EZ9" s="284">
        <f t="shared" si="77"/>
        <v>1164701.1920819106</v>
      </c>
      <c r="FA9" s="284">
        <f t="shared" si="77"/>
        <v>1091059.0536166667</v>
      </c>
      <c r="FB9" s="284">
        <f t="shared" si="77"/>
        <v>1366659.5182101913</v>
      </c>
      <c r="FC9" s="285">
        <f t="shared" si="77"/>
        <v>3622419.763908769</v>
      </c>
      <c r="FD9" s="284">
        <v>2645836.9796721428</v>
      </c>
      <c r="FE9" s="284">
        <v>976583.26027482667</v>
      </c>
      <c r="FF9" s="284">
        <f t="shared" si="20"/>
        <v>3622420.2399469693</v>
      </c>
      <c r="FG9" s="16"/>
      <c r="FH9" s="266"/>
      <c r="FJ9" s="222">
        <f t="shared" ref="FJ9:FJ36" si="78">FJ8+1</f>
        <v>4</v>
      </c>
      <c r="FK9" s="242"/>
      <c r="FL9" s="877" t="s">
        <v>190</v>
      </c>
      <c r="FM9" s="650">
        <v>187053.99349999998</v>
      </c>
      <c r="FN9" s="650">
        <v>201367.96999999997</v>
      </c>
      <c r="FO9" s="650">
        <v>211381.89823999998</v>
      </c>
      <c r="FP9" s="794">
        <f t="shared" si="21"/>
        <v>599803.86173999996</v>
      </c>
      <c r="FQ9" s="650">
        <v>187102.71895454542</v>
      </c>
      <c r="FR9" s="650">
        <v>201367.96999999997</v>
      </c>
      <c r="FS9" s="650">
        <v>211768.89823999998</v>
      </c>
      <c r="FT9" s="650">
        <v>600239.58719454543</v>
      </c>
      <c r="FU9" s="955">
        <v>600239.58719454543</v>
      </c>
      <c r="FV9" s="16"/>
      <c r="FW9" s="266"/>
      <c r="FY9" s="222">
        <v>4</v>
      </c>
      <c r="FZ9" s="969" t="s">
        <v>191</v>
      </c>
      <c r="GA9" s="650">
        <v>0</v>
      </c>
      <c r="GB9" s="650">
        <v>144.44999999999999</v>
      </c>
      <c r="GC9" s="650">
        <v>0</v>
      </c>
      <c r="GD9" s="794">
        <f t="shared" si="1"/>
        <v>144.44999999999999</v>
      </c>
      <c r="GE9" s="650">
        <v>0</v>
      </c>
      <c r="GF9" s="650">
        <v>144.44999999999999</v>
      </c>
      <c r="GG9" s="650">
        <v>0</v>
      </c>
      <c r="GH9" s="650">
        <f>SUM(GE9:GG9)</f>
        <v>144.44999999999999</v>
      </c>
      <c r="GI9" s="202"/>
      <c r="GJ9" s="203"/>
      <c r="GL9" s="286">
        <v>4</v>
      </c>
      <c r="GM9" s="885" t="s">
        <v>192</v>
      </c>
      <c r="GN9" s="885">
        <f>GN7-GN8</f>
        <v>17336653.61379452</v>
      </c>
      <c r="GO9" s="885">
        <f>GO7-GO8</f>
        <v>36228582.601999998</v>
      </c>
      <c r="GP9" s="885">
        <f>GP7-GP8</f>
        <v>57810304.313600004</v>
      </c>
      <c r="GQ9" s="885">
        <f>SUM(GN9:GP9)</f>
        <v>111375540.52939452</v>
      </c>
      <c r="GR9" s="885">
        <f>GR7-GR8</f>
        <v>15104029.58157273</v>
      </c>
      <c r="GS9" s="885">
        <f>GS7-GS8</f>
        <v>34464321.422000006</v>
      </c>
      <c r="GT9" s="885">
        <f>GT7-GT8</f>
        <v>56786467.263899982</v>
      </c>
      <c r="GU9" s="885">
        <f>SUM(GR9:GT9)</f>
        <v>106354818.26747271</v>
      </c>
      <c r="GZ9" s="222">
        <v>4</v>
      </c>
      <c r="HA9" s="663">
        <v>4</v>
      </c>
      <c r="HB9" s="663">
        <v>10</v>
      </c>
      <c r="HC9" s="663">
        <v>11</v>
      </c>
      <c r="HD9" s="682">
        <v>24610749</v>
      </c>
      <c r="HE9" s="682">
        <v>27099362</v>
      </c>
      <c r="HF9" s="724">
        <f t="shared" si="22"/>
        <v>1.1000000000000001</v>
      </c>
      <c r="HG9" s="724">
        <f t="shared" si="23"/>
        <v>1.1011189460345152</v>
      </c>
      <c r="HH9" s="723">
        <v>1</v>
      </c>
      <c r="HI9" s="723">
        <v>0</v>
      </c>
      <c r="HJ9" s="723">
        <v>0</v>
      </c>
      <c r="HN9" s="243">
        <v>4</v>
      </c>
      <c r="HO9" s="891">
        <v>4</v>
      </c>
      <c r="HP9" s="793">
        <f t="shared" si="2"/>
        <v>1.1011189460345152</v>
      </c>
      <c r="HQ9" s="650">
        <v>14661</v>
      </c>
      <c r="HR9" s="794">
        <f t="shared" si="24"/>
        <v>16143.504867812027</v>
      </c>
      <c r="HS9" s="650">
        <v>2674997</v>
      </c>
      <c r="HT9" s="975">
        <v>2941415</v>
      </c>
      <c r="HU9" s="650">
        <v>1284924.1558000001</v>
      </c>
      <c r="HV9" s="975">
        <v>1463576</v>
      </c>
      <c r="HW9" s="650">
        <v>225000</v>
      </c>
      <c r="HX9" s="955">
        <v>247500</v>
      </c>
      <c r="HY9" s="650">
        <f t="shared" si="25"/>
        <v>1524585.1558000001</v>
      </c>
      <c r="HZ9" s="650">
        <f t="shared" si="25"/>
        <v>1727219.5048678119</v>
      </c>
      <c r="IA9" s="206"/>
      <c r="IB9" s="207"/>
      <c r="IC9" s="206"/>
      <c r="ID9" s="244">
        <v>4</v>
      </c>
      <c r="IE9" s="891">
        <v>4</v>
      </c>
      <c r="IF9" s="899">
        <f t="shared" si="3"/>
        <v>1.1000000000000001</v>
      </c>
      <c r="IG9" s="900">
        <f t="shared" si="3"/>
        <v>1.1011189460345152</v>
      </c>
      <c r="IH9" s="955">
        <v>488079.30426010059</v>
      </c>
      <c r="II9" s="794">
        <f t="shared" si="64"/>
        <v>537433.36908814148</v>
      </c>
      <c r="IJ9" s="955">
        <v>49144.689999999995</v>
      </c>
      <c r="IK9" s="794">
        <f t="shared" si="26"/>
        <v>54114.149255992976</v>
      </c>
      <c r="IL9" s="955">
        <v>266927.91573989944</v>
      </c>
      <c r="IM9" s="794">
        <f>IL9*IF9</f>
        <v>293620.7073138894</v>
      </c>
      <c r="IN9" s="955">
        <v>446411.14275394066</v>
      </c>
      <c r="IO9" s="995">
        <v>464523.93858632422</v>
      </c>
      <c r="IP9" s="955">
        <v>36638.874999999985</v>
      </c>
      <c r="IQ9" s="794">
        <f t="shared" si="27"/>
        <v>40343.759423890333</v>
      </c>
      <c r="IR9" s="955">
        <v>45956.791999999987</v>
      </c>
      <c r="IS9" s="794">
        <f t="shared" si="28"/>
        <v>50603.894370167429</v>
      </c>
      <c r="IT9" s="955">
        <v>54174.032000000007</v>
      </c>
      <c r="IU9" s="794">
        <f t="shared" si="29"/>
        <v>59652.053018280109</v>
      </c>
      <c r="IV9" s="955">
        <v>148516.94685000001</v>
      </c>
      <c r="IW9" s="794">
        <f t="shared" si="30"/>
        <v>163534.82398373613</v>
      </c>
      <c r="IX9" s="650">
        <f t="shared" si="31"/>
        <v>1535849.6986039407</v>
      </c>
      <c r="IY9" s="650">
        <f t="shared" si="31"/>
        <v>1663826.6950404223</v>
      </c>
      <c r="IZ9" s="683">
        <f t="shared" si="4"/>
        <v>6.1397264446315098</v>
      </c>
      <c r="JD9" s="222">
        <v>4</v>
      </c>
      <c r="JE9" s="663">
        <v>4</v>
      </c>
      <c r="JF9" s="660">
        <f t="shared" si="5"/>
        <v>11</v>
      </c>
      <c r="JG9" s="660">
        <f t="shared" si="32"/>
        <v>11</v>
      </c>
      <c r="JH9" s="905">
        <f t="shared" si="6"/>
        <v>27099362</v>
      </c>
      <c r="JI9" s="905">
        <f>JH9*$JK$26</f>
        <v>27153573.700954311</v>
      </c>
      <c r="JJ9" s="906">
        <f t="shared" si="33"/>
        <v>1</v>
      </c>
      <c r="JK9" s="906">
        <f t="shared" si="34"/>
        <v>1.0020004788656762</v>
      </c>
      <c r="JL9" s="906">
        <f t="shared" si="35"/>
        <v>1.0363408188452143</v>
      </c>
      <c r="JM9" s="663" t="s">
        <v>424</v>
      </c>
      <c r="JN9" s="209"/>
      <c r="JO9" s="210"/>
      <c r="JP9" s="209"/>
      <c r="JQ9" s="222">
        <v>4</v>
      </c>
      <c r="JR9" s="663">
        <v>4</v>
      </c>
      <c r="JS9" s="914" t="str">
        <f t="shared" si="7"/>
        <v>Q4</v>
      </c>
      <c r="JT9" s="913">
        <f t="shared" si="8"/>
        <v>1.0363408188452143</v>
      </c>
      <c r="JU9" s="671">
        <f t="shared" si="36"/>
        <v>16143.504867812027</v>
      </c>
      <c r="JV9" s="671">
        <f t="shared" si="37"/>
        <v>16730.173053740022</v>
      </c>
      <c r="JW9" s="671">
        <f t="shared" si="9"/>
        <v>2941415</v>
      </c>
      <c r="JX9" s="671">
        <f t="shared" si="38"/>
        <v>2994503.2925892896</v>
      </c>
      <c r="JY9" s="671">
        <f t="shared" si="10"/>
        <v>1463576</v>
      </c>
      <c r="JZ9" s="671">
        <f t="shared" si="11"/>
        <v>1346276.9178722966</v>
      </c>
      <c r="KA9" s="671">
        <f t="shared" si="39"/>
        <v>247500</v>
      </c>
      <c r="KB9" s="671">
        <f t="shared" si="40"/>
        <v>58663.134626388877</v>
      </c>
      <c r="KC9" s="671">
        <f t="shared" si="41"/>
        <v>1727219.5048678119</v>
      </c>
      <c r="KD9" s="671">
        <f t="shared" si="41"/>
        <v>1421670.2255524255</v>
      </c>
      <c r="KE9" s="211"/>
      <c r="KF9" s="210"/>
      <c r="KG9" s="209"/>
      <c r="KH9" s="245">
        <f t="shared" si="65"/>
        <v>4</v>
      </c>
      <c r="KI9" s="917">
        <v>3</v>
      </c>
      <c r="KJ9" s="918">
        <f t="shared" si="66"/>
        <v>0.91666666666666663</v>
      </c>
      <c r="KK9" s="918">
        <f t="shared" si="66"/>
        <v>1.0020004788656762</v>
      </c>
      <c r="KL9" s="898">
        <v>1.6546666699999999</v>
      </c>
      <c r="KM9" s="801">
        <f t="shared" si="67"/>
        <v>961271.39077665401</v>
      </c>
      <c r="KN9" s="898">
        <v>1.6546666699999999</v>
      </c>
      <c r="KO9" s="801">
        <f t="shared" si="42"/>
        <v>53394.936356448343</v>
      </c>
      <c r="KP9" s="898">
        <v>1.6546666699999999</v>
      </c>
      <c r="KQ9" s="801">
        <f t="shared" si="43"/>
        <v>393658.57324517204</v>
      </c>
      <c r="KR9" s="898">
        <v>1.6546666699999999</v>
      </c>
      <c r="KS9" s="801">
        <f t="shared" si="68"/>
        <v>539269.90087968996</v>
      </c>
      <c r="KT9" s="898">
        <v>1.6546666699999999</v>
      </c>
      <c r="KU9" s="801">
        <f t="shared" si="44"/>
        <v>99488.067849202911</v>
      </c>
      <c r="KV9" s="898">
        <v>1.6546666699999999</v>
      </c>
      <c r="KW9" s="801">
        <f t="shared" si="45"/>
        <v>87855.656586369267</v>
      </c>
      <c r="KX9" s="898">
        <v>1.6546666699999999</v>
      </c>
      <c r="KY9" s="801">
        <f t="shared" si="46"/>
        <v>14134.236245282333</v>
      </c>
      <c r="KZ9" s="898">
        <v>1.6546666699999999</v>
      </c>
      <c r="LA9" s="919">
        <f t="shared" si="47"/>
        <v>287098.04104523128</v>
      </c>
      <c r="LB9" s="646">
        <f t="shared" si="48"/>
        <v>2432330.3221154893</v>
      </c>
      <c r="LC9" s="646">
        <f t="shared" ref="LC9:LC26" si="79">KM9+KO9+KQ9+KS9+KU9+KY9+LA9+KW9</f>
        <v>2436170.8029840505</v>
      </c>
      <c r="LD9" s="16"/>
      <c r="LE9" s="220"/>
      <c r="LG9" s="222">
        <v>4</v>
      </c>
      <c r="LH9" s="922">
        <v>4</v>
      </c>
      <c r="LI9" s="650">
        <f t="shared" si="12"/>
        <v>1524585.1558000001</v>
      </c>
      <c r="LJ9" s="650">
        <f t="shared" si="12"/>
        <v>1727219.5048678119</v>
      </c>
      <c r="LK9" s="794">
        <f t="shared" si="13"/>
        <v>1421670.2255524255</v>
      </c>
      <c r="LL9" s="650">
        <f t="shared" si="14"/>
        <v>1535849.6986039407</v>
      </c>
      <c r="LM9" s="650">
        <f t="shared" si="14"/>
        <v>1663826.6950404223</v>
      </c>
      <c r="LN9" s="794">
        <f t="shared" si="49"/>
        <v>1724291.5195547179</v>
      </c>
      <c r="LO9" s="650">
        <f t="shared" si="50"/>
        <v>-11264.542803940596</v>
      </c>
      <c r="LP9" s="650">
        <f t="shared" si="50"/>
        <v>63392.809827389661</v>
      </c>
      <c r="LQ9" s="650">
        <f t="shared" si="50"/>
        <v>-302621.29400229244</v>
      </c>
      <c r="LU9" s="222">
        <f t="shared" si="69"/>
        <v>4</v>
      </c>
      <c r="LV9" s="812" t="s">
        <v>193</v>
      </c>
      <c r="LW9" s="650">
        <f>LW7+LW8</f>
        <v>352460926.04838526</v>
      </c>
      <c r="MA9" s="192">
        <f t="shared" ref="MA9:MA24" si="80">MA8+1</f>
        <v>3</v>
      </c>
      <c r="MB9" s="814" t="s">
        <v>194</v>
      </c>
      <c r="MC9" s="860">
        <f>N9</f>
        <v>108999890.20903042</v>
      </c>
      <c r="MD9" s="928">
        <f t="shared" si="51"/>
        <v>4.9580100678423111</v>
      </c>
      <c r="ME9" s="796"/>
      <c r="MF9" s="798">
        <f>MC30</f>
        <v>125008684.55141294</v>
      </c>
      <c r="MG9" s="928">
        <f t="shared" si="52"/>
        <v>5.686192118038301</v>
      </c>
      <c r="MK9" s="192">
        <f t="shared" ref="MK9:MK24" si="81">MK8+1</f>
        <v>3</v>
      </c>
      <c r="ML9" s="814" t="str">
        <f t="shared" si="53"/>
        <v>Base Handling Commissions (HC)</v>
      </c>
      <c r="MM9" s="979">
        <v>131674066.73842122</v>
      </c>
      <c r="MN9" s="860">
        <f>MC9</f>
        <v>108999890.20903042</v>
      </c>
      <c r="MO9" s="860">
        <f t="shared" si="70"/>
        <v>-22674176.529390797</v>
      </c>
      <c r="MP9" s="830">
        <f t="shared" si="71"/>
        <v>-0.17219925753819443</v>
      </c>
    </row>
    <row r="10" spans="1:405" s="29" customFormat="1" ht="16.5" x14ac:dyDescent="0.3">
      <c r="B10" s="181">
        <f t="shared" si="72"/>
        <v>5</v>
      </c>
      <c r="C10" s="795"/>
      <c r="D10" s="796" t="s">
        <v>195</v>
      </c>
      <c r="E10" s="797"/>
      <c r="F10" s="798">
        <f>GD12</f>
        <v>1116505.0026</v>
      </c>
      <c r="G10" s="799">
        <f t="shared" si="15"/>
        <v>5.3663312193258469E-2</v>
      </c>
      <c r="H10" s="798">
        <f>GH12</f>
        <v>314630.85259999998</v>
      </c>
      <c r="I10" s="800">
        <f t="shared" si="16"/>
        <v>1.504309160679523E-2</v>
      </c>
      <c r="J10" s="801">
        <f t="shared" si="54"/>
        <v>-801874.15</v>
      </c>
      <c r="K10" s="798">
        <f>HR26</f>
        <v>323903.59259512648</v>
      </c>
      <c r="L10" s="800">
        <f t="shared" si="17"/>
        <v>1.4762674288716604E-2</v>
      </c>
      <c r="M10" s="801">
        <f t="shared" si="55"/>
        <v>9272.7399951264961</v>
      </c>
      <c r="N10" s="798">
        <f>JV26</f>
        <v>335796.49244503211</v>
      </c>
      <c r="O10" s="800">
        <f t="shared" si="18"/>
        <v>1.527416575462451E-2</v>
      </c>
      <c r="P10" s="801">
        <f t="shared" si="56"/>
        <v>11892.899849905632</v>
      </c>
      <c r="Q10" s="798">
        <f t="shared" si="57"/>
        <v>-780708.51015496789</v>
      </c>
      <c r="R10" s="802">
        <f t="shared" si="58"/>
        <v>-0.71537042477703516</v>
      </c>
      <c r="S10" s="12"/>
      <c r="T10" s="13"/>
      <c r="U10" s="12"/>
      <c r="V10" s="165">
        <f>V8+1</f>
        <v>3</v>
      </c>
      <c r="W10" s="805" t="s">
        <v>172</v>
      </c>
      <c r="X10" s="955">
        <v>-2556595.7831702125</v>
      </c>
      <c r="Y10" s="955">
        <v>1170566.5451474434</v>
      </c>
      <c r="Z10" s="955">
        <v>6455212.4211677872</v>
      </c>
      <c r="AA10" s="1001">
        <f>SUM(X10:Z10)</f>
        <v>5069183.1831450183</v>
      </c>
      <c r="AB10" s="18" t="s">
        <v>431</v>
      </c>
      <c r="AC10" s="12"/>
      <c r="AD10" s="13"/>
      <c r="AE10" s="12"/>
      <c r="AF10" s="252">
        <f t="shared" si="73"/>
        <v>4</v>
      </c>
      <c r="AG10" s="191" t="s">
        <v>24</v>
      </c>
      <c r="AK10" s="12"/>
      <c r="AL10" s="13"/>
      <c r="AM10" s="12"/>
      <c r="AN10" s="192">
        <v>5</v>
      </c>
      <c r="AO10" s="254"/>
      <c r="AQ10" s="796" t="s">
        <v>195</v>
      </c>
      <c r="AR10" s="797"/>
      <c r="AS10" s="827">
        <v>351000.77</v>
      </c>
      <c r="AT10" s="828">
        <v>3.4227935612112924E-2</v>
      </c>
      <c r="AU10" s="829"/>
      <c r="AV10" s="827">
        <v>392967.44999999995</v>
      </c>
      <c r="AW10" s="828">
        <v>3.6413574986312203E-2</v>
      </c>
      <c r="AX10" s="830">
        <f>AW10/AT10-1</f>
        <v>6.3855424965384211E-2</v>
      </c>
      <c r="AY10" s="829"/>
      <c r="AZ10" s="827">
        <v>419971.50999999995</v>
      </c>
      <c r="BA10" s="828">
        <v>3.2552478729062043E-2</v>
      </c>
      <c r="BB10" s="830">
        <f>BA10/AW10-1</f>
        <v>-0.10603452857077444</v>
      </c>
      <c r="BC10" s="829"/>
      <c r="BD10" s="827">
        <v>465783.3236</v>
      </c>
      <c r="BE10" s="828">
        <v>3.1672779070028398E-2</v>
      </c>
      <c r="BF10" s="830">
        <f>BE10/BA10-1</f>
        <v>-2.7024045276413E-2</v>
      </c>
      <c r="BG10" s="829"/>
      <c r="BH10" s="827">
        <v>1360261.3124000002</v>
      </c>
      <c r="BI10" s="828">
        <v>8.9511992892331985E-2</v>
      </c>
      <c r="BJ10" s="830">
        <f>BI10/BE10-1</f>
        <v>1.8261489998847686</v>
      </c>
      <c r="BK10" s="829"/>
      <c r="BL10" s="827">
        <v>1390376.9787000001</v>
      </c>
      <c r="BM10" s="828">
        <v>8.2655695684016636E-2</v>
      </c>
      <c r="BN10" s="830">
        <f>BM10/BI10-1</f>
        <v>-7.6596408891960732E-2</v>
      </c>
      <c r="BO10" s="829"/>
      <c r="BP10" s="827">
        <v>770218.05</v>
      </c>
      <c r="BQ10" s="828">
        <v>4.1525871275282955E-2</v>
      </c>
      <c r="BR10" s="830">
        <f>BQ10/BM10-1</f>
        <v>-0.49760423729259196</v>
      </c>
      <c r="BS10" s="829"/>
      <c r="BT10" s="796">
        <v>1472526.2590000001</v>
      </c>
      <c r="BU10" s="796">
        <v>7.5050191908761346E-2</v>
      </c>
      <c r="BV10" s="796">
        <f>BU10/BQ10-1</f>
        <v>0.8073116735164747</v>
      </c>
      <c r="BW10" s="258">
        <v>11886052.370000001</v>
      </c>
      <c r="BX10" s="259">
        <v>0.6140398725184244</v>
      </c>
      <c r="BY10" s="831">
        <f t="shared" si="60"/>
        <v>7.1817228830662252</v>
      </c>
      <c r="BZ10" s="831">
        <v>6021594.1700000009</v>
      </c>
      <c r="CA10" s="831">
        <v>0.29519107155012259</v>
      </c>
      <c r="CB10" s="831">
        <f t="shared" si="61"/>
        <v>-0.51926400098510661</v>
      </c>
      <c r="CC10" s="956">
        <v>2435490.3939</v>
      </c>
      <c r="CD10" s="956">
        <v>0.11718165526042415</v>
      </c>
      <c r="CE10" s="802">
        <f t="shared" si="62"/>
        <v>-0.60303116674541068</v>
      </c>
      <c r="CF10" s="798">
        <f t="shared" si="19"/>
        <v>1116505.0026</v>
      </c>
      <c r="CG10" s="831">
        <f t="shared" si="19"/>
        <v>5.3663312193258469E-2</v>
      </c>
      <c r="CH10" s="802">
        <f>CG10/CD10-1</f>
        <v>-0.54205022898851118</v>
      </c>
      <c r="CI10" s="832">
        <f t="shared" si="63"/>
        <v>2.1809189552490156</v>
      </c>
      <c r="CJ10" s="802">
        <f t="shared" si="74"/>
        <v>6.6398656147326873E-2</v>
      </c>
      <c r="CK10" s="12"/>
      <c r="CL10" s="13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20"/>
      <c r="CZ10" s="12"/>
      <c r="DA10" s="287"/>
      <c r="DB10" s="288"/>
      <c r="DC10" s="289"/>
      <c r="DD10" s="12"/>
      <c r="DE10" s="289"/>
      <c r="DF10" s="12"/>
      <c r="DG10" s="12"/>
      <c r="DH10" s="12"/>
      <c r="DI10" s="20"/>
      <c r="DJ10" s="12"/>
      <c r="DK10" s="12"/>
      <c r="DL10" s="12"/>
      <c r="DM10" s="12"/>
      <c r="DN10" s="12"/>
      <c r="DO10" s="12"/>
      <c r="DP10" s="12"/>
      <c r="DQ10" s="12"/>
      <c r="DR10" s="13"/>
      <c r="DS10" s="12"/>
      <c r="DT10" s="192">
        <v>5</v>
      </c>
      <c r="DU10" s="874" t="s">
        <v>196</v>
      </c>
      <c r="DV10" s="860"/>
      <c r="DW10" s="860"/>
      <c r="DX10" s="860"/>
      <c r="DY10" s="860"/>
      <c r="DZ10" s="954">
        <v>3188331.9858326707</v>
      </c>
      <c r="EA10" s="955">
        <v>5333427.9915022952</v>
      </c>
      <c r="EB10" s="955">
        <v>7194319.2214661567</v>
      </c>
      <c r="EC10" s="955">
        <v>15716079.198801123</v>
      </c>
      <c r="ED10" s="12"/>
      <c r="EE10" s="13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6"/>
      <c r="ER10" s="266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951" t="s">
        <v>197</v>
      </c>
      <c r="FF10" s="12"/>
      <c r="FG10" s="16"/>
      <c r="FH10" s="266"/>
      <c r="FI10" s="12"/>
      <c r="FJ10" s="192">
        <f t="shared" si="78"/>
        <v>5</v>
      </c>
      <c r="FK10" s="265"/>
      <c r="FL10" s="878" t="s">
        <v>198</v>
      </c>
      <c r="FM10" s="860">
        <v>27043.4</v>
      </c>
      <c r="FN10" s="860">
        <v>143518.97</v>
      </c>
      <c r="FO10" s="860">
        <v>26153.77</v>
      </c>
      <c r="FP10" s="801">
        <f t="shared" si="21"/>
        <v>196716.14</v>
      </c>
      <c r="FQ10" s="860">
        <v>0</v>
      </c>
      <c r="FR10" s="860">
        <v>0</v>
      </c>
      <c r="FS10" s="860">
        <v>0</v>
      </c>
      <c r="FT10" s="860">
        <v>0</v>
      </c>
      <c r="FU10" s="955">
        <v>0</v>
      </c>
      <c r="FV10" s="16"/>
      <c r="FW10" s="266"/>
      <c r="FX10" s="12"/>
      <c r="FY10" s="192">
        <v>5</v>
      </c>
      <c r="FZ10" s="969" t="s">
        <v>199</v>
      </c>
      <c r="GA10" s="860">
        <v>2264.3409999999999</v>
      </c>
      <c r="GB10" s="860">
        <v>71321</v>
      </c>
      <c r="GC10" s="860">
        <v>90199.61</v>
      </c>
      <c r="GD10" s="801">
        <f t="shared" si="1"/>
        <v>163784.951</v>
      </c>
      <c r="GE10" s="860">
        <v>2264.3409999999994</v>
      </c>
      <c r="GF10" s="860">
        <v>71321</v>
      </c>
      <c r="GG10" s="860">
        <v>90199.61</v>
      </c>
      <c r="GH10" s="860">
        <f>SUM(GE10:GG10)</f>
        <v>163784.951</v>
      </c>
      <c r="GI10" s="202"/>
      <c r="GJ10" s="203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204"/>
      <c r="GW10" s="290"/>
      <c r="GX10" s="12"/>
      <c r="GY10" s="12"/>
      <c r="GZ10" s="192">
        <v>5</v>
      </c>
      <c r="HA10" s="886">
        <v>5</v>
      </c>
      <c r="HB10" s="886">
        <v>10</v>
      </c>
      <c r="HC10" s="886">
        <v>10</v>
      </c>
      <c r="HD10" s="887">
        <v>27582468</v>
      </c>
      <c r="HE10" s="887">
        <v>27845108</v>
      </c>
      <c r="HF10" s="800">
        <f t="shared" si="22"/>
        <v>1</v>
      </c>
      <c r="HG10" s="800">
        <f t="shared" si="23"/>
        <v>1.0095219905629909</v>
      </c>
      <c r="HH10" s="802">
        <v>1</v>
      </c>
      <c r="HI10" s="802">
        <v>0</v>
      </c>
      <c r="HJ10" s="802">
        <v>0</v>
      </c>
      <c r="HK10" s="12"/>
      <c r="HL10" s="13"/>
      <c r="HM10" s="12"/>
      <c r="HN10" s="267">
        <v>5</v>
      </c>
      <c r="HO10" s="892">
        <v>5</v>
      </c>
      <c r="HP10" s="799">
        <f t="shared" si="2"/>
        <v>1.0095219905629909</v>
      </c>
      <c r="HQ10" s="860">
        <v>18003.84</v>
      </c>
      <c r="HR10" s="801">
        <f t="shared" si="24"/>
        <v>18175.272394577598</v>
      </c>
      <c r="HS10" s="860">
        <v>2986640</v>
      </c>
      <c r="HT10" s="975">
        <v>3015599</v>
      </c>
      <c r="HU10" s="860">
        <v>1473505.2203000002</v>
      </c>
      <c r="HV10" s="975">
        <v>1517912</v>
      </c>
      <c r="HW10" s="860">
        <v>225000</v>
      </c>
      <c r="HX10" s="955">
        <v>225000</v>
      </c>
      <c r="HY10" s="860">
        <f t="shared" si="25"/>
        <v>1716509.0603000002</v>
      </c>
      <c r="HZ10" s="860">
        <f t="shared" si="25"/>
        <v>1761087.2723945775</v>
      </c>
      <c r="IA10" s="206"/>
      <c r="IB10" s="207"/>
      <c r="IC10" s="206"/>
      <c r="ID10" s="208">
        <v>5</v>
      </c>
      <c r="IE10" s="892">
        <v>5</v>
      </c>
      <c r="IF10" s="896">
        <f t="shared" si="3"/>
        <v>1</v>
      </c>
      <c r="IG10" s="897">
        <f t="shared" si="3"/>
        <v>1.0095219905629909</v>
      </c>
      <c r="IH10" s="955">
        <v>355051.0988864348</v>
      </c>
      <c r="II10" s="801">
        <f t="shared" si="64"/>
        <v>358431.89209941099</v>
      </c>
      <c r="IJ10" s="955">
        <v>26799.5</v>
      </c>
      <c r="IK10" s="801">
        <f t="shared" si="26"/>
        <v>27054.684586092873</v>
      </c>
      <c r="IL10" s="955">
        <v>435175.40111356514</v>
      </c>
      <c r="IM10" s="801">
        <f t="shared" ref="IM10:IM25" si="82">IL10*IF10</f>
        <v>435175.40111356514</v>
      </c>
      <c r="IN10" s="955">
        <v>413268.48496479425</v>
      </c>
      <c r="IO10" s="995">
        <v>413268.48496479425</v>
      </c>
      <c r="IP10" s="955">
        <v>91183.847999999984</v>
      </c>
      <c r="IQ10" s="801">
        <f t="shared" si="27"/>
        <v>92052.099740153179</v>
      </c>
      <c r="IR10" s="955">
        <v>53589.08</v>
      </c>
      <c r="IS10" s="801">
        <f t="shared" si="28"/>
        <v>54099.354714039364</v>
      </c>
      <c r="IT10" s="955">
        <v>37897.01</v>
      </c>
      <c r="IU10" s="801">
        <f t="shared" si="29"/>
        <v>38257.864971585572</v>
      </c>
      <c r="IV10" s="955">
        <v>219214.09419999996</v>
      </c>
      <c r="IW10" s="801">
        <f t="shared" si="30"/>
        <v>221301.44873624694</v>
      </c>
      <c r="IX10" s="860">
        <f t="shared" si="31"/>
        <v>1632178.5171647943</v>
      </c>
      <c r="IY10" s="860">
        <f t="shared" si="31"/>
        <v>1639641.2309258883</v>
      </c>
      <c r="IZ10" s="898">
        <f t="shared" si="4"/>
        <v>5.8884355231299095</v>
      </c>
      <c r="JA10" s="12"/>
      <c r="JB10" s="13"/>
      <c r="JC10" s="12"/>
      <c r="JD10" s="192">
        <v>5</v>
      </c>
      <c r="JE10" s="886">
        <v>5</v>
      </c>
      <c r="JF10" s="796">
        <f t="shared" si="5"/>
        <v>10</v>
      </c>
      <c r="JG10" s="796">
        <f t="shared" si="32"/>
        <v>10</v>
      </c>
      <c r="JH10" s="859">
        <f t="shared" si="6"/>
        <v>27845108</v>
      </c>
      <c r="JI10" s="859">
        <f t="shared" ref="JI10:JI25" si="83">JH10*$JK$26</f>
        <v>27900811.550066471</v>
      </c>
      <c r="JJ10" s="904">
        <f t="shared" si="33"/>
        <v>1</v>
      </c>
      <c r="JK10" s="904">
        <f t="shared" si="34"/>
        <v>1.0020004788656762</v>
      </c>
      <c r="JL10" s="904">
        <f t="shared" si="35"/>
        <v>1.0362128486496771</v>
      </c>
      <c r="JM10" s="886" t="s">
        <v>424</v>
      </c>
      <c r="JN10" s="209"/>
      <c r="JO10" s="210"/>
      <c r="JP10" s="209"/>
      <c r="JQ10" s="192">
        <v>5</v>
      </c>
      <c r="JR10" s="886">
        <v>5</v>
      </c>
      <c r="JS10" s="910" t="str">
        <f t="shared" si="7"/>
        <v>Q4</v>
      </c>
      <c r="JT10" s="911">
        <f t="shared" si="8"/>
        <v>1.0362128486496771</v>
      </c>
      <c r="JU10" s="860">
        <f t="shared" si="36"/>
        <v>18175.272394577598</v>
      </c>
      <c r="JV10" s="860">
        <f t="shared" si="37"/>
        <v>18833.450782969092</v>
      </c>
      <c r="JW10" s="860">
        <f t="shared" si="9"/>
        <v>3015599</v>
      </c>
      <c r="JX10" s="860">
        <f t="shared" si="38"/>
        <v>3076908.8803088563</v>
      </c>
      <c r="JY10" s="860">
        <f t="shared" si="10"/>
        <v>1517912</v>
      </c>
      <c r="JZ10" s="860">
        <f t="shared" si="11"/>
        <v>1383325.0456620059</v>
      </c>
      <c r="KA10" s="860">
        <f t="shared" si="39"/>
        <v>225000</v>
      </c>
      <c r="KB10" s="860">
        <f t="shared" si="40"/>
        <v>60277.482521187696</v>
      </c>
      <c r="KC10" s="860">
        <f t="shared" si="41"/>
        <v>1761087.2723945775</v>
      </c>
      <c r="KD10" s="860">
        <f t="shared" si="41"/>
        <v>1462435.9789661628</v>
      </c>
      <c r="KE10" s="211"/>
      <c r="KF10" s="210"/>
      <c r="KG10" s="209"/>
      <c r="KH10" s="243">
        <f t="shared" si="65"/>
        <v>5</v>
      </c>
      <c r="KI10" s="891">
        <v>4</v>
      </c>
      <c r="KJ10" s="920">
        <f t="shared" si="66"/>
        <v>1</v>
      </c>
      <c r="KK10" s="920">
        <f t="shared" si="66"/>
        <v>1.0020004788656762</v>
      </c>
      <c r="KL10" s="683">
        <v>1.6546666699999999</v>
      </c>
      <c r="KM10" s="794">
        <f t="shared" si="67"/>
        <v>557471.2832338945</v>
      </c>
      <c r="KN10" s="683">
        <v>1.6546666699999999</v>
      </c>
      <c r="KO10" s="794">
        <f t="shared" si="42"/>
        <v>56131.766209517533</v>
      </c>
      <c r="KP10" s="683">
        <v>1.6546666699999999</v>
      </c>
      <c r="KQ10" s="794">
        <f t="shared" si="43"/>
        <v>303960.1316634625</v>
      </c>
      <c r="KR10" s="683">
        <v>1.6546666699999999</v>
      </c>
      <c r="KS10" s="794">
        <f t="shared" si="68"/>
        <v>480881.47060617793</v>
      </c>
      <c r="KT10" s="683">
        <v>1.6546666699999999</v>
      </c>
      <c r="KU10" s="794">
        <f t="shared" si="44"/>
        <v>41847.954797959574</v>
      </c>
      <c r="KV10" s="683">
        <v>1.6546666699999999</v>
      </c>
      <c r="KW10" s="794">
        <f t="shared" si="45"/>
        <v>52490.633358017425</v>
      </c>
      <c r="KX10" s="683">
        <v>1.6546666699999999</v>
      </c>
      <c r="KY10" s="794">
        <f t="shared" si="46"/>
        <v>61876.147735409904</v>
      </c>
      <c r="KZ10" s="683">
        <v>1.6546666699999999</v>
      </c>
      <c r="LA10" s="794">
        <f t="shared" si="47"/>
        <v>169632.13195027871</v>
      </c>
      <c r="LB10" s="650">
        <f t="shared" si="48"/>
        <v>1663826.6950404223</v>
      </c>
      <c r="LC10" s="650">
        <f t="shared" si="79"/>
        <v>1724291.5195547179</v>
      </c>
      <c r="LD10" s="16"/>
      <c r="LE10" s="220"/>
      <c r="LF10" s="12"/>
      <c r="LG10" s="192">
        <v>5</v>
      </c>
      <c r="LH10" s="921">
        <v>5</v>
      </c>
      <c r="LI10" s="860">
        <f t="shared" si="12"/>
        <v>1716509.0603000002</v>
      </c>
      <c r="LJ10" s="860">
        <f t="shared" si="12"/>
        <v>1761087.2723945775</v>
      </c>
      <c r="LK10" s="801">
        <f t="shared" si="13"/>
        <v>1462435.9789661628</v>
      </c>
      <c r="LL10" s="860">
        <f t="shared" si="14"/>
        <v>1632178.5171647943</v>
      </c>
      <c r="LM10" s="860">
        <f t="shared" si="14"/>
        <v>1639641.2309258883</v>
      </c>
      <c r="LN10" s="801">
        <f t="shared" si="49"/>
        <v>1699017.3106611778</v>
      </c>
      <c r="LO10" s="860">
        <f t="shared" si="50"/>
        <v>84330.543135205982</v>
      </c>
      <c r="LP10" s="860">
        <f t="shared" si="50"/>
        <v>121446.04146868922</v>
      </c>
      <c r="LQ10" s="860">
        <f t="shared" si="50"/>
        <v>-236581.33169501508</v>
      </c>
      <c r="LR10" s="12"/>
      <c r="LS10" s="13"/>
      <c r="LT10" s="12"/>
      <c r="LU10" s="192">
        <f>LU9+1</f>
        <v>5</v>
      </c>
      <c r="LV10" s="291" t="s">
        <v>200</v>
      </c>
      <c r="LW10" s="292"/>
      <c r="LX10" s="12"/>
      <c r="LY10" s="13"/>
      <c r="LZ10" s="12"/>
      <c r="MA10" s="222">
        <f t="shared" si="80"/>
        <v>4</v>
      </c>
      <c r="MB10" s="812" t="s">
        <v>195</v>
      </c>
      <c r="MC10" s="650">
        <f>N10</f>
        <v>335796.49244503211</v>
      </c>
      <c r="MD10" s="747">
        <f t="shared" si="51"/>
        <v>1.527416575462451E-2</v>
      </c>
      <c r="ME10" s="660"/>
      <c r="MF10" s="792">
        <f>MC10</f>
        <v>335796.49244503211</v>
      </c>
      <c r="MG10" s="747">
        <f t="shared" si="52"/>
        <v>1.527416575462451E-2</v>
      </c>
      <c r="MH10" s="12"/>
      <c r="MI10" s="13"/>
      <c r="MJ10" s="12"/>
      <c r="MK10" s="222">
        <f t="shared" si="81"/>
        <v>4</v>
      </c>
      <c r="ML10" s="812" t="str">
        <f t="shared" si="53"/>
        <v>Misc Revenue</v>
      </c>
      <c r="MM10" s="979">
        <v>204693.58767693696</v>
      </c>
      <c r="MN10" s="650">
        <f>MC10</f>
        <v>335796.49244503211</v>
      </c>
      <c r="MO10" s="650">
        <f t="shared" si="70"/>
        <v>131102.90476809515</v>
      </c>
      <c r="MP10" s="723">
        <f t="shared" si="71"/>
        <v>0.64048369201976052</v>
      </c>
      <c r="MQ10" s="12"/>
      <c r="MR10" s="13"/>
      <c r="MS10" s="12"/>
    </row>
    <row r="11" spans="1:405" ht="16.5" x14ac:dyDescent="0.3">
      <c r="B11" s="143">
        <f>B10+1</f>
        <v>6</v>
      </c>
      <c r="C11" s="790"/>
      <c r="D11" s="660" t="s">
        <v>44</v>
      </c>
      <c r="E11" s="791"/>
      <c r="F11" s="954">
        <v>4505138.589094514</v>
      </c>
      <c r="G11" s="793">
        <f t="shared" si="15"/>
        <v>0.21653343067652001</v>
      </c>
      <c r="H11" s="954">
        <v>4505138.589094514</v>
      </c>
      <c r="I11" s="724">
        <f t="shared" si="16"/>
        <v>0.2153991318302679</v>
      </c>
      <c r="J11" s="794">
        <f t="shared" si="54"/>
        <v>0</v>
      </c>
      <c r="K11" s="954">
        <v>4786954.623376444</v>
      </c>
      <c r="L11" s="724">
        <f t="shared" si="17"/>
        <v>0.21817680802357298</v>
      </c>
      <c r="M11" s="794">
        <f t="shared" si="55"/>
        <v>281816.03428192995</v>
      </c>
      <c r="N11" s="792">
        <f>MC11</f>
        <v>4749598.8</v>
      </c>
      <c r="O11" s="724">
        <f t="shared" si="18"/>
        <v>0.21604204025758561</v>
      </c>
      <c r="P11" s="794">
        <f t="shared" si="56"/>
        <v>-37355.823376444168</v>
      </c>
      <c r="Q11" s="792">
        <f t="shared" si="57"/>
        <v>244460.21090548579</v>
      </c>
      <c r="R11" s="723">
        <f>O11/G11-1</f>
        <v>-2.269351283998633E-3</v>
      </c>
      <c r="V11" s="252">
        <f t="shared" si="59"/>
        <v>4</v>
      </c>
      <c r="W11" s="806" t="s">
        <v>179</v>
      </c>
      <c r="X11" s="800">
        <f>X10/$H$24*100</f>
        <v>-0.12223564297640627</v>
      </c>
      <c r="Y11" s="800">
        <f>Y10/$H$24*100</f>
        <v>5.5966983609485974E-2</v>
      </c>
      <c r="Z11" s="800">
        <f>Z10/$H$24*100</f>
        <v>0.3086358219179598</v>
      </c>
      <c r="AA11" s="800">
        <f>AA10/$H$24*100</f>
        <v>0.24236716255103952</v>
      </c>
      <c r="AB11" s="227"/>
      <c r="AC11" s="233"/>
      <c r="AF11" s="165">
        <f t="shared" si="73"/>
        <v>5</v>
      </c>
      <c r="AG11" s="812" t="s">
        <v>77</v>
      </c>
      <c r="AH11" s="813">
        <f>CT9</f>
        <v>1762701.0470566959</v>
      </c>
      <c r="AI11" s="813">
        <f>DE9</f>
        <v>86370.623008658004</v>
      </c>
      <c r="AJ11" s="682">
        <f>DO9</f>
        <v>570064.6364464286</v>
      </c>
      <c r="AN11" s="293">
        <v>6</v>
      </c>
      <c r="AO11" s="294"/>
      <c r="AP11" s="294"/>
      <c r="AQ11" s="833" t="s">
        <v>201</v>
      </c>
      <c r="AR11" s="834"/>
      <c r="AS11" s="835">
        <v>41149542.24840001</v>
      </c>
      <c r="AT11" s="836">
        <v>4.0127088112831091</v>
      </c>
      <c r="AU11" s="837"/>
      <c r="AV11" s="835">
        <v>43536109.595200002</v>
      </c>
      <c r="AW11" s="836">
        <v>4.0341900871360252</v>
      </c>
      <c r="AX11" s="838">
        <f>AW11/AT11-1</f>
        <v>5.3533104102929663E-3</v>
      </c>
      <c r="AY11" s="837"/>
      <c r="AZ11" s="835">
        <v>52475468.259999998</v>
      </c>
      <c r="BA11" s="836">
        <v>4.067434394135975</v>
      </c>
      <c r="BB11" s="838">
        <f>BA11/AW11-1</f>
        <v>8.2406397026151268E-3</v>
      </c>
      <c r="BC11" s="837"/>
      <c r="BD11" s="835">
        <v>60296489.323600002</v>
      </c>
      <c r="BE11" s="836">
        <v>4.1000982394224748</v>
      </c>
      <c r="BF11" s="838">
        <f>BE11/BA11-1</f>
        <v>8.0305770471900129E-3</v>
      </c>
      <c r="BG11" s="837"/>
      <c r="BH11" s="835">
        <v>61146922.538433343</v>
      </c>
      <c r="BI11" s="836">
        <v>4.0237731131168939</v>
      </c>
      <c r="BJ11" s="838">
        <f>BI11/BE11-1</f>
        <v>-1.8615438423331909E-2</v>
      </c>
      <c r="BK11" s="837"/>
      <c r="BL11" s="835">
        <v>67411697.978699997</v>
      </c>
      <c r="BM11" s="836">
        <v>4.0075180177968992</v>
      </c>
      <c r="BN11" s="838">
        <f>BM11/BI11-1</f>
        <v>-4.0397643860697885E-3</v>
      </c>
      <c r="BO11" s="837"/>
      <c r="BP11" s="835">
        <v>82733345.540000066</v>
      </c>
      <c r="BQ11" s="836">
        <v>4.4605216108185832</v>
      </c>
      <c r="BR11" s="838">
        <f>BQ11/BM11-1</f>
        <v>0.11303844200074709</v>
      </c>
      <c r="BS11" s="837"/>
      <c r="BT11" s="839">
        <v>96023263.244399965</v>
      </c>
      <c r="BU11" s="839">
        <v>4.8940141407676769</v>
      </c>
      <c r="BV11" s="839">
        <f>BU11/BQ11-1</f>
        <v>9.7184268516421479E-2</v>
      </c>
      <c r="BW11" s="295">
        <v>108271476.32980001</v>
      </c>
      <c r="BX11" s="296">
        <v>5.5933628300959608</v>
      </c>
      <c r="BY11" s="840">
        <f t="shared" si="60"/>
        <v>0.14289878803222744</v>
      </c>
      <c r="BZ11" s="840">
        <v>110405938.53159995</v>
      </c>
      <c r="CA11" s="840">
        <v>5.4123287588874414</v>
      </c>
      <c r="CB11" s="840">
        <f t="shared" si="61"/>
        <v>-3.2365873036956816E-2</v>
      </c>
      <c r="CC11" s="957">
        <v>104395539.42615813</v>
      </c>
      <c r="CD11" s="957">
        <v>5.0229071493781339</v>
      </c>
      <c r="CE11" s="723">
        <f t="shared" si="62"/>
        <v>-7.1950841653853459E-2</v>
      </c>
      <c r="CF11" s="841">
        <f>F12</f>
        <v>111375540.52939449</v>
      </c>
      <c r="CG11" s="840">
        <f>G12</f>
        <v>5.3531156494630183</v>
      </c>
      <c r="CH11" s="723">
        <f>CG11/CD11-1</f>
        <v>6.574051445999074E-2</v>
      </c>
      <c r="CI11" s="842">
        <f t="shared" si="63"/>
        <v>1.7066046046654391</v>
      </c>
      <c r="CJ11" s="723">
        <f t="shared" si="74"/>
        <v>5.6874941511309673E-2</v>
      </c>
      <c r="CY11" s="20"/>
      <c r="DD11" s="12"/>
      <c r="DI11" s="20"/>
      <c r="DN11" s="12"/>
      <c r="DT11" s="297">
        <v>6</v>
      </c>
      <c r="DU11" s="875" t="s">
        <v>202</v>
      </c>
      <c r="DV11" s="727"/>
      <c r="DW11" s="727"/>
      <c r="DX11" s="727"/>
      <c r="DY11" s="727"/>
      <c r="DZ11" s="967">
        <v>1329901.5614670862</v>
      </c>
      <c r="EA11" s="968">
        <v>2463632.9117169301</v>
      </c>
      <c r="EB11" s="968">
        <v>3594215.4151920588</v>
      </c>
      <c r="EC11" s="968">
        <v>7387749.8883760758</v>
      </c>
      <c r="EQ11" s="16"/>
      <c r="ER11" s="266"/>
      <c r="FG11" s="16"/>
      <c r="FH11" s="266"/>
      <c r="FJ11" s="222">
        <f t="shared" si="78"/>
        <v>6</v>
      </c>
      <c r="FK11" s="242"/>
      <c r="FL11" s="877" t="s">
        <v>203</v>
      </c>
      <c r="FM11" s="650">
        <v>49260.639999999992</v>
      </c>
      <c r="FN11" s="650">
        <v>32406.18</v>
      </c>
      <c r="FO11" s="650">
        <v>47183.22</v>
      </c>
      <c r="FP11" s="794">
        <f t="shared" si="21"/>
        <v>128850.03999999998</v>
      </c>
      <c r="FQ11" s="650">
        <v>49260.639999999992</v>
      </c>
      <c r="FR11" s="650">
        <v>32406.18</v>
      </c>
      <c r="FS11" s="650">
        <v>47183.22</v>
      </c>
      <c r="FT11" s="650">
        <v>128850.03999999998</v>
      </c>
      <c r="FU11" s="955">
        <v>128850.03999999998</v>
      </c>
      <c r="FV11" s="16"/>
      <c r="FW11" s="203"/>
      <c r="FY11" s="222">
        <v>6</v>
      </c>
      <c r="FZ11" s="969" t="s">
        <v>204</v>
      </c>
      <c r="GA11" s="650">
        <v>69215.070000000007</v>
      </c>
      <c r="GB11" s="650">
        <v>311010.10159999999</v>
      </c>
      <c r="GC11" s="650">
        <v>175816.9</v>
      </c>
      <c r="GD11" s="794">
        <f t="shared" si="1"/>
        <v>556042.07160000002</v>
      </c>
      <c r="GE11" s="650">
        <v>36325.46</v>
      </c>
      <c r="GF11" s="650">
        <v>74259.621599999984</v>
      </c>
      <c r="GG11" s="650">
        <v>30632.449999999986</v>
      </c>
      <c r="GH11" s="650">
        <f>SUM(GE11:GG11)</f>
        <v>141217.53159999996</v>
      </c>
      <c r="GI11" s="202"/>
      <c r="GJ11" s="203"/>
      <c r="GZ11" s="222">
        <v>6</v>
      </c>
      <c r="HA11" s="663">
        <v>6</v>
      </c>
      <c r="HB11" s="663">
        <v>10</v>
      </c>
      <c r="HC11" s="663">
        <v>10</v>
      </c>
      <c r="HD11" s="682">
        <v>31932119.545454547</v>
      </c>
      <c r="HE11" s="682">
        <v>32250691</v>
      </c>
      <c r="HF11" s="724">
        <f t="shared" si="22"/>
        <v>1</v>
      </c>
      <c r="HG11" s="724">
        <f t="shared" si="23"/>
        <v>1.0099765207909852</v>
      </c>
      <c r="HH11" s="723">
        <v>1</v>
      </c>
      <c r="HI11" s="723">
        <v>0</v>
      </c>
      <c r="HJ11" s="723">
        <v>0</v>
      </c>
      <c r="HN11" s="243">
        <v>6</v>
      </c>
      <c r="HO11" s="891">
        <v>6</v>
      </c>
      <c r="HP11" s="793">
        <f t="shared" si="2"/>
        <v>1.0099765207909852</v>
      </c>
      <c r="HQ11" s="650">
        <v>0</v>
      </c>
      <c r="HR11" s="794">
        <f t="shared" si="24"/>
        <v>0</v>
      </c>
      <c r="HS11" s="650">
        <v>3465446.1818181816</v>
      </c>
      <c r="HT11" s="975">
        <v>3489174</v>
      </c>
      <c r="HU11" s="650">
        <v>1496716.5628727272</v>
      </c>
      <c r="HV11" s="975">
        <v>1721487</v>
      </c>
      <c r="HW11" s="650">
        <v>225000</v>
      </c>
      <c r="HX11" s="955">
        <v>225000</v>
      </c>
      <c r="HY11" s="650">
        <f t="shared" si="25"/>
        <v>1721716.5628727272</v>
      </c>
      <c r="HZ11" s="650">
        <f t="shared" si="25"/>
        <v>1946487</v>
      </c>
      <c r="IA11" s="206"/>
      <c r="IB11" s="207"/>
      <c r="IC11" s="206"/>
      <c r="ID11" s="244">
        <v>6</v>
      </c>
      <c r="IE11" s="891">
        <v>6</v>
      </c>
      <c r="IF11" s="899">
        <f t="shared" si="3"/>
        <v>1</v>
      </c>
      <c r="IG11" s="900">
        <f t="shared" si="3"/>
        <v>1.0099765207909852</v>
      </c>
      <c r="IH11" s="955">
        <v>643151.33366376476</v>
      </c>
      <c r="II11" s="794">
        <f t="shared" si="64"/>
        <v>649567.74631581118</v>
      </c>
      <c r="IJ11" s="955">
        <v>48283.804000000004</v>
      </c>
      <c r="IK11" s="794">
        <f t="shared" si="26"/>
        <v>48765.508374473859</v>
      </c>
      <c r="IL11" s="955">
        <v>378134.38324532611</v>
      </c>
      <c r="IM11" s="794">
        <f t="shared" si="82"/>
        <v>378134.38324532611</v>
      </c>
      <c r="IN11" s="955">
        <v>592148.52086575574</v>
      </c>
      <c r="IO11" s="995">
        <v>592148.52086575574</v>
      </c>
      <c r="IP11" s="955">
        <v>65904.153500000029</v>
      </c>
      <c r="IQ11" s="794">
        <f t="shared" si="27"/>
        <v>66561.647657605063</v>
      </c>
      <c r="IR11" s="955">
        <v>59879.82918181819</v>
      </c>
      <c r="IS11" s="794">
        <f t="shared" si="28"/>
        <v>60477.221542611245</v>
      </c>
      <c r="IT11" s="955">
        <v>35609.333636363634</v>
      </c>
      <c r="IU11" s="794">
        <f t="shared" si="29"/>
        <v>35964.590893739944</v>
      </c>
      <c r="IV11" s="955">
        <v>189514.22679545454</v>
      </c>
      <c r="IW11" s="794">
        <f t="shared" si="30"/>
        <v>191404.91941926687</v>
      </c>
      <c r="IX11" s="650">
        <f t="shared" si="31"/>
        <v>2012625.5848884832</v>
      </c>
      <c r="IY11" s="650">
        <f t="shared" si="31"/>
        <v>2023024.5383145902</v>
      </c>
      <c r="IZ11" s="683">
        <f t="shared" si="4"/>
        <v>6.2728099013896799</v>
      </c>
      <c r="JD11" s="222">
        <v>6</v>
      </c>
      <c r="JE11" s="663">
        <v>6</v>
      </c>
      <c r="JF11" s="660">
        <f t="shared" si="5"/>
        <v>10</v>
      </c>
      <c r="JG11" s="660">
        <f t="shared" si="32"/>
        <v>10</v>
      </c>
      <c r="JH11" s="905">
        <f t="shared" si="6"/>
        <v>32250691</v>
      </c>
      <c r="JI11" s="905">
        <f t="shared" si="83"/>
        <v>32315207.825748954</v>
      </c>
      <c r="JJ11" s="906">
        <f t="shared" si="33"/>
        <v>1</v>
      </c>
      <c r="JK11" s="906">
        <f t="shared" si="34"/>
        <v>1.0020004788656762</v>
      </c>
      <c r="JL11" s="906">
        <f t="shared" si="35"/>
        <v>1.0451340000489462</v>
      </c>
      <c r="JM11" s="663" t="s">
        <v>425</v>
      </c>
      <c r="JN11" s="209"/>
      <c r="JO11" s="210"/>
      <c r="JP11" s="209"/>
      <c r="JQ11" s="222">
        <v>6</v>
      </c>
      <c r="JR11" s="663">
        <v>6</v>
      </c>
      <c r="JS11" s="914" t="str">
        <f t="shared" si="7"/>
        <v>Q2</v>
      </c>
      <c r="JT11" s="913">
        <f t="shared" si="8"/>
        <v>1.0451340000489462</v>
      </c>
      <c r="JU11" s="671">
        <f t="shared" si="36"/>
        <v>0</v>
      </c>
      <c r="JV11" s="671">
        <f t="shared" si="37"/>
        <v>0</v>
      </c>
      <c r="JW11" s="671">
        <f t="shared" si="9"/>
        <v>3489174</v>
      </c>
      <c r="JX11" s="671">
        <f t="shared" si="38"/>
        <v>3563729.6696423986</v>
      </c>
      <c r="JY11" s="671">
        <f t="shared" si="10"/>
        <v>1721487</v>
      </c>
      <c r="JZ11" s="671">
        <f t="shared" si="11"/>
        <v>1602191.2574447994</v>
      </c>
      <c r="KA11" s="671">
        <f t="shared" si="39"/>
        <v>225000</v>
      </c>
      <c r="KB11" s="671">
        <f t="shared" si="40"/>
        <v>69814.434300227003</v>
      </c>
      <c r="KC11" s="671">
        <f t="shared" si="41"/>
        <v>1946487</v>
      </c>
      <c r="KD11" s="671">
        <f t="shared" si="41"/>
        <v>1672005.6917450265</v>
      </c>
      <c r="KE11" s="211"/>
      <c r="KF11" s="210"/>
      <c r="KG11" s="209"/>
      <c r="KH11" s="245">
        <f t="shared" si="65"/>
        <v>6</v>
      </c>
      <c r="KI11" s="917">
        <v>5</v>
      </c>
      <c r="KJ11" s="918">
        <f t="shared" si="66"/>
        <v>1</v>
      </c>
      <c r="KK11" s="918">
        <f t="shared" si="66"/>
        <v>1.0020004788656762</v>
      </c>
      <c r="KL11" s="898">
        <v>1.6546666699999999</v>
      </c>
      <c r="KM11" s="801">
        <f t="shared" si="67"/>
        <v>371795.83243898058</v>
      </c>
      <c r="KN11" s="898">
        <v>1.6546666699999999</v>
      </c>
      <c r="KO11" s="801">
        <f t="shared" si="42"/>
        <v>28063.403951428096</v>
      </c>
      <c r="KP11" s="898">
        <v>1.6546666699999999</v>
      </c>
      <c r="KQ11" s="801">
        <f t="shared" si="43"/>
        <v>450499.46725239768</v>
      </c>
      <c r="KR11" s="898">
        <v>1.6546666699999999</v>
      </c>
      <c r="KS11" s="801">
        <f t="shared" si="68"/>
        <v>427821.13104839704</v>
      </c>
      <c r="KT11" s="898">
        <v>1.6546666699999999</v>
      </c>
      <c r="KU11" s="801">
        <f t="shared" si="44"/>
        <v>95484.212775224107</v>
      </c>
      <c r="KV11" s="898">
        <v>1.6546666699999999</v>
      </c>
      <c r="KW11" s="801">
        <f t="shared" si="45"/>
        <v>56116.420061023382</v>
      </c>
      <c r="KX11" s="898">
        <v>1.6546666699999999</v>
      </c>
      <c r="KY11" s="801">
        <f t="shared" si="46"/>
        <v>39684.288892752098</v>
      </c>
      <c r="KZ11" s="898">
        <v>1.6546666699999999</v>
      </c>
      <c r="LA11" s="919">
        <f t="shared" si="47"/>
        <v>229552.55424097498</v>
      </c>
      <c r="LB11" s="646">
        <f t="shared" si="48"/>
        <v>1639641.2309258883</v>
      </c>
      <c r="LC11" s="646">
        <f t="shared" si="79"/>
        <v>1699017.3106611778</v>
      </c>
      <c r="LD11" s="16"/>
      <c r="LE11" s="220"/>
      <c r="LG11" s="222">
        <v>6</v>
      </c>
      <c r="LH11" s="922">
        <v>6</v>
      </c>
      <c r="LI11" s="650">
        <f t="shared" si="12"/>
        <v>1721716.5628727272</v>
      </c>
      <c r="LJ11" s="650">
        <f t="shared" si="12"/>
        <v>1946487</v>
      </c>
      <c r="LK11" s="794">
        <f t="shared" si="13"/>
        <v>1672005.6917450265</v>
      </c>
      <c r="LL11" s="650">
        <f t="shared" si="14"/>
        <v>2012625.5848884832</v>
      </c>
      <c r="LM11" s="650">
        <f t="shared" si="14"/>
        <v>2023024.5383145902</v>
      </c>
      <c r="LN11" s="794">
        <f t="shared" si="49"/>
        <v>2114331.7279259004</v>
      </c>
      <c r="LO11" s="650">
        <f t="shared" si="50"/>
        <v>-290909.022015756</v>
      </c>
      <c r="LP11" s="650">
        <f>LJ11-LM11</f>
        <v>-76537.538314590231</v>
      </c>
      <c r="LQ11" s="650">
        <f t="shared" si="50"/>
        <v>-442326.03618087387</v>
      </c>
      <c r="LU11" s="222">
        <f>LU10+1</f>
        <v>6</v>
      </c>
      <c r="LV11" s="812" t="s">
        <v>205</v>
      </c>
      <c r="LW11" s="925">
        <v>5.3900000000000003E-2</v>
      </c>
      <c r="MA11" s="192">
        <f>MA10+1</f>
        <v>5</v>
      </c>
      <c r="MB11" s="814" t="s">
        <v>44</v>
      </c>
      <c r="MC11" s="860">
        <f>'DCA 8 month Phase II'!II4*'DCA 8 month Phase II'!IH4</f>
        <v>4749598.8</v>
      </c>
      <c r="MD11" s="928">
        <f t="shared" si="51"/>
        <v>0.21604204025758561</v>
      </c>
      <c r="ME11" s="796"/>
      <c r="MF11" s="798">
        <f>MC11</f>
        <v>4749598.8</v>
      </c>
      <c r="MG11" s="928">
        <f t="shared" si="52"/>
        <v>0.21604204025758561</v>
      </c>
      <c r="MK11" s="192">
        <f t="shared" si="81"/>
        <v>5</v>
      </c>
      <c r="ML11" s="814" t="str">
        <f t="shared" si="53"/>
        <v>Depot Viability Handling Commissions</v>
      </c>
      <c r="MM11" s="979">
        <v>4758928.0499999989</v>
      </c>
      <c r="MN11" s="860">
        <f>MF11</f>
        <v>4749598.8</v>
      </c>
      <c r="MO11" s="860">
        <f t="shared" si="70"/>
        <v>-9329.2499999990687</v>
      </c>
      <c r="MP11" s="802">
        <f t="shared" si="71"/>
        <v>-1.9603679446254857E-3</v>
      </c>
    </row>
    <row r="12" spans="1:405" s="29" customFormat="1" ht="17.100000000000001" customHeight="1" thickBot="1" x14ac:dyDescent="0.35">
      <c r="B12" s="181">
        <f>B11+1</f>
        <v>7</v>
      </c>
      <c r="C12" s="803" t="s">
        <v>206</v>
      </c>
      <c r="D12" s="804"/>
      <c r="E12" s="797"/>
      <c r="F12" s="798">
        <f>F9+F10+F11</f>
        <v>111375540.52939449</v>
      </c>
      <c r="G12" s="799">
        <f t="shared" si="15"/>
        <v>5.3531156494630183</v>
      </c>
      <c r="H12" s="798">
        <f>H9+H10+H11</f>
        <v>106354818.26747276</v>
      </c>
      <c r="I12" s="800">
        <f t="shared" si="16"/>
        <v>5.0850234832362764</v>
      </c>
      <c r="J12" s="801">
        <f t="shared" si="54"/>
        <v>-5020722.2619217336</v>
      </c>
      <c r="K12" s="798">
        <f>K9+K10+K11</f>
        <v>129005962.21597157</v>
      </c>
      <c r="L12" s="800">
        <f t="shared" si="17"/>
        <v>5.8797526333010612</v>
      </c>
      <c r="M12" s="801">
        <f t="shared" si="55"/>
        <v>22651143.948498815</v>
      </c>
      <c r="N12" s="798">
        <f>N9+N10+N11</f>
        <v>114085285.50147545</v>
      </c>
      <c r="O12" s="800">
        <f t="shared" si="18"/>
        <v>5.1893262738545216</v>
      </c>
      <c r="P12" s="801">
        <f t="shared" si="56"/>
        <v>-14920676.714496121</v>
      </c>
      <c r="Q12" s="798">
        <f t="shared" si="57"/>
        <v>2709744.9720809609</v>
      </c>
      <c r="R12" s="802">
        <f t="shared" si="58"/>
        <v>-3.0597017948776561E-2</v>
      </c>
      <c r="S12" s="12"/>
      <c r="T12" s="13"/>
      <c r="U12" s="12"/>
      <c r="V12" s="165">
        <f t="shared" si="59"/>
        <v>5</v>
      </c>
      <c r="W12" s="808" t="s">
        <v>132</v>
      </c>
      <c r="X12" s="650">
        <f>X10-X7</f>
        <v>-2643133.7078647274</v>
      </c>
      <c r="Y12" s="650">
        <f t="shared" ref="Y12:AA12" si="84">Y10-Y7</f>
        <v>-2061160.729802558</v>
      </c>
      <c r="Z12" s="650">
        <f t="shared" si="84"/>
        <v>2614500.5078417864</v>
      </c>
      <c r="AA12" s="650">
        <f t="shared" si="84"/>
        <v>-2089793.9298254987</v>
      </c>
      <c r="AB12" s="230"/>
      <c r="AC12" s="234"/>
      <c r="AD12" s="13"/>
      <c r="AE12" s="12"/>
      <c r="AF12" s="252">
        <f t="shared" si="73"/>
        <v>6</v>
      </c>
      <c r="AG12" s="814" t="s">
        <v>180</v>
      </c>
      <c r="AH12" s="815">
        <f>AH11*3600/$H$24</f>
        <v>3.0340096397324476</v>
      </c>
      <c r="AI12" s="815">
        <f>AI11*3600/$H$24</f>
        <v>0.14866349755423783</v>
      </c>
      <c r="AJ12" s="815">
        <f>AJ11*3600/$H$24</f>
        <v>0.98121096889176984</v>
      </c>
      <c r="AK12" s="12"/>
      <c r="AL12" s="299"/>
      <c r="AM12" s="12"/>
      <c r="AN12" s="192">
        <v>7</v>
      </c>
      <c r="AO12" s="193"/>
      <c r="AP12" s="191" t="s">
        <v>207</v>
      </c>
      <c r="AQ12" s="7"/>
      <c r="AR12" s="195"/>
      <c r="AS12" s="255"/>
      <c r="AT12" s="256"/>
      <c r="AU12" s="257"/>
      <c r="AV12" s="255"/>
      <c r="AW12" s="256"/>
      <c r="AX12" s="250"/>
      <c r="AY12" s="257"/>
      <c r="AZ12" s="255"/>
      <c r="BA12" s="300"/>
      <c r="BB12" s="250"/>
      <c r="BC12" s="257"/>
      <c r="BD12" s="255"/>
      <c r="BE12" s="300"/>
      <c r="BF12" s="250"/>
      <c r="BG12" s="257"/>
      <c r="BH12" s="255"/>
      <c r="BI12" s="300"/>
      <c r="BJ12" s="250"/>
      <c r="BK12" s="257"/>
      <c r="BL12" s="255"/>
      <c r="BM12" s="300"/>
      <c r="BN12" s="250"/>
      <c r="BO12" s="257"/>
      <c r="BP12" s="255"/>
      <c r="BQ12" s="300"/>
      <c r="BR12" s="250"/>
      <c r="BS12" s="257"/>
      <c r="BW12" s="258"/>
      <c r="BX12" s="259"/>
      <c r="BY12" s="260"/>
      <c r="BZ12" s="260"/>
      <c r="CA12" s="260"/>
      <c r="CB12" s="260"/>
      <c r="CC12" s="958"/>
      <c r="CD12" s="958"/>
      <c r="CE12" s="301"/>
      <c r="CF12" s="247"/>
      <c r="CG12" s="260"/>
      <c r="CH12" s="301"/>
      <c r="CI12" s="262"/>
      <c r="CJ12" s="301"/>
      <c r="CK12" s="12"/>
      <c r="CL12" s="13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232"/>
      <c r="CY12" s="20"/>
      <c r="CZ12" s="12"/>
      <c r="DA12" s="12"/>
      <c r="DB12" s="12"/>
      <c r="DC12" s="12"/>
      <c r="DD12" s="12"/>
      <c r="DE12" s="12"/>
      <c r="DF12" s="12"/>
      <c r="DG12" s="12"/>
      <c r="DH12" s="12"/>
      <c r="DI12" s="20"/>
      <c r="DJ12" s="12"/>
      <c r="DK12" s="12"/>
      <c r="DL12" s="12"/>
      <c r="DM12" s="12"/>
      <c r="DN12" s="12"/>
      <c r="DO12" s="12"/>
      <c r="DP12" s="12"/>
      <c r="DQ12" s="12"/>
      <c r="DR12" s="13"/>
      <c r="DS12" s="12"/>
      <c r="DT12" s="302">
        <v>7</v>
      </c>
      <c r="DU12" s="303" t="s">
        <v>71</v>
      </c>
      <c r="DV12" s="304">
        <f t="shared" ref="DV12:EC12" si="85">SUM(DV7:DV11)</f>
        <v>3987595.5110999998</v>
      </c>
      <c r="DW12" s="304">
        <f t="shared" si="85"/>
        <v>7161030.7631999999</v>
      </c>
      <c r="DX12" s="304">
        <f t="shared" si="85"/>
        <v>14640317.082199998</v>
      </c>
      <c r="DY12" s="305">
        <f t="shared" si="85"/>
        <v>25788943.3565</v>
      </c>
      <c r="DZ12" s="304">
        <f t="shared" si="85"/>
        <v>4518233.5472997567</v>
      </c>
      <c r="EA12" s="304">
        <f t="shared" si="85"/>
        <v>7797060.9032192249</v>
      </c>
      <c r="EB12" s="304">
        <f t="shared" si="85"/>
        <v>10788534.636658216</v>
      </c>
      <c r="EC12" s="304">
        <f t="shared" si="85"/>
        <v>23103829.087177198</v>
      </c>
      <c r="ED12" s="12"/>
      <c r="EE12" s="13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6"/>
      <c r="ER12" s="266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6"/>
      <c r="FH12" s="266"/>
      <c r="FI12" s="12"/>
      <c r="FJ12" s="192">
        <f t="shared" si="78"/>
        <v>7</v>
      </c>
      <c r="FK12" s="265"/>
      <c r="FL12" s="878" t="s">
        <v>208</v>
      </c>
      <c r="FM12" s="860">
        <v>156010.497</v>
      </c>
      <c r="FN12" s="860">
        <v>388247.39</v>
      </c>
      <c r="FO12" s="860">
        <v>395682.24947999994</v>
      </c>
      <c r="FP12" s="801">
        <f t="shared" si="21"/>
        <v>939940.13647999999</v>
      </c>
      <c r="FQ12" s="860">
        <v>156830.33790909091</v>
      </c>
      <c r="FR12" s="860">
        <v>388247.39</v>
      </c>
      <c r="FS12" s="860">
        <v>400882.74947999994</v>
      </c>
      <c r="FT12" s="860">
        <v>945960.47738909081</v>
      </c>
      <c r="FU12" s="955">
        <v>945960.47738909081</v>
      </c>
      <c r="FV12" s="16"/>
      <c r="FW12" s="266"/>
      <c r="FX12" s="12"/>
      <c r="FY12" s="302">
        <v>7</v>
      </c>
      <c r="FZ12" s="306" t="s">
        <v>88</v>
      </c>
      <c r="GA12" s="304">
        <f t="shared" ref="GA12:GH12" si="86">SUM(GA6:GA11)</f>
        <v>203809.78099999999</v>
      </c>
      <c r="GB12" s="304">
        <f t="shared" si="86"/>
        <v>466245.03159999999</v>
      </c>
      <c r="GC12" s="304">
        <f t="shared" si="86"/>
        <v>446450.19000000006</v>
      </c>
      <c r="GD12" s="305">
        <f t="shared" si="86"/>
        <v>1116505.0026</v>
      </c>
      <c r="GE12" s="304">
        <f t="shared" si="86"/>
        <v>39789.800999999999</v>
      </c>
      <c r="GF12" s="304">
        <f t="shared" si="86"/>
        <v>148024.76159999997</v>
      </c>
      <c r="GG12" s="304">
        <f t="shared" si="86"/>
        <v>126816.28999999998</v>
      </c>
      <c r="GH12" s="305">
        <f t="shared" si="86"/>
        <v>314630.85259999998</v>
      </c>
      <c r="GI12" s="16"/>
      <c r="GJ12" s="203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3"/>
      <c r="GX12" s="12"/>
      <c r="GY12" s="12"/>
      <c r="GZ12" s="192">
        <v>7</v>
      </c>
      <c r="HA12" s="886">
        <v>7</v>
      </c>
      <c r="HB12" s="886">
        <v>10</v>
      </c>
      <c r="HC12" s="886">
        <v>12</v>
      </c>
      <c r="HD12" s="887">
        <v>38020664</v>
      </c>
      <c r="HE12" s="887">
        <v>45023413</v>
      </c>
      <c r="HF12" s="800">
        <f t="shared" si="22"/>
        <v>1.2</v>
      </c>
      <c r="HG12" s="800">
        <f t="shared" si="23"/>
        <v>1.1841827118011405</v>
      </c>
      <c r="HH12" s="802">
        <v>1</v>
      </c>
      <c r="HI12" s="802">
        <v>0</v>
      </c>
      <c r="HJ12" s="802">
        <v>0</v>
      </c>
      <c r="HK12" s="12"/>
      <c r="HL12" s="13"/>
      <c r="HM12" s="12"/>
      <c r="HN12" s="267">
        <v>7</v>
      </c>
      <c r="HO12" s="892">
        <v>7</v>
      </c>
      <c r="HP12" s="799">
        <f t="shared" si="2"/>
        <v>1.1841827118011405</v>
      </c>
      <c r="HQ12" s="860">
        <v>2625.0909999999994</v>
      </c>
      <c r="HR12" s="801">
        <f t="shared" si="24"/>
        <v>3108.587379104767</v>
      </c>
      <c r="HS12" s="860">
        <v>4131025</v>
      </c>
      <c r="HT12" s="975">
        <v>4886341</v>
      </c>
      <c r="HU12" s="860">
        <v>1932272.8392</v>
      </c>
      <c r="HV12" s="975">
        <v>2550044</v>
      </c>
      <c r="HW12" s="860">
        <v>225000</v>
      </c>
      <c r="HX12" s="955">
        <v>270000</v>
      </c>
      <c r="HY12" s="860">
        <f t="shared" si="25"/>
        <v>2159897.9302000003</v>
      </c>
      <c r="HZ12" s="860">
        <f t="shared" si="25"/>
        <v>2823152.5873791049</v>
      </c>
      <c r="IA12" s="206"/>
      <c r="IB12" s="207"/>
      <c r="IC12" s="206"/>
      <c r="ID12" s="208">
        <v>7</v>
      </c>
      <c r="IE12" s="892">
        <v>7</v>
      </c>
      <c r="IF12" s="896">
        <f t="shared" si="3"/>
        <v>1.2</v>
      </c>
      <c r="IG12" s="897">
        <f t="shared" si="3"/>
        <v>1.1841827118011405</v>
      </c>
      <c r="IH12" s="955">
        <v>713038.95958031644</v>
      </c>
      <c r="II12" s="801">
        <f t="shared" si="64"/>
        <v>844368.40877568291</v>
      </c>
      <c r="IJ12" s="955">
        <v>87337.3</v>
      </c>
      <c r="IK12" s="801">
        <f t="shared" si="26"/>
        <v>103423.32075538975</v>
      </c>
      <c r="IL12" s="955">
        <v>425618.89441968338</v>
      </c>
      <c r="IM12" s="801">
        <f t="shared" si="82"/>
        <v>510742.67330362002</v>
      </c>
      <c r="IN12" s="955">
        <v>522406.19132917118</v>
      </c>
      <c r="IO12" s="995">
        <v>674140.55331500247</v>
      </c>
      <c r="IP12" s="955">
        <v>178194.31999999995</v>
      </c>
      <c r="IQ12" s="801">
        <f t="shared" si="27"/>
        <v>211014.63308516017</v>
      </c>
      <c r="IR12" s="955">
        <v>66471.787500000006</v>
      </c>
      <c r="IS12" s="801">
        <f t="shared" si="28"/>
        <v>78714.741580019167</v>
      </c>
      <c r="IT12" s="955">
        <v>59926.53</v>
      </c>
      <c r="IU12" s="801">
        <f t="shared" si="29"/>
        <v>70963.960804232396</v>
      </c>
      <c r="IV12" s="955">
        <v>219294.0816</v>
      </c>
      <c r="IW12" s="801">
        <f t="shared" si="30"/>
        <v>259684.2602310286</v>
      </c>
      <c r="IX12" s="860">
        <f t="shared" si="31"/>
        <v>2272288.0644291709</v>
      </c>
      <c r="IY12" s="860">
        <f t="shared" si="31"/>
        <v>2753052.5518501359</v>
      </c>
      <c r="IZ12" s="898">
        <f t="shared" si="4"/>
        <v>6.1147131423602552</v>
      </c>
      <c r="JA12" s="12"/>
      <c r="JB12" s="13"/>
      <c r="JC12" s="12"/>
      <c r="JD12" s="192">
        <v>7</v>
      </c>
      <c r="JE12" s="886">
        <v>7</v>
      </c>
      <c r="JF12" s="796">
        <f t="shared" si="5"/>
        <v>12</v>
      </c>
      <c r="JG12" s="796">
        <f t="shared" si="32"/>
        <v>12</v>
      </c>
      <c r="JH12" s="859">
        <f t="shared" si="6"/>
        <v>45023413</v>
      </c>
      <c r="JI12" s="859">
        <f t="shared" si="83"/>
        <v>45113481.386167109</v>
      </c>
      <c r="JJ12" s="904">
        <f t="shared" si="33"/>
        <v>1</v>
      </c>
      <c r="JK12" s="904">
        <f t="shared" si="34"/>
        <v>1.0020004788656762</v>
      </c>
      <c r="JL12" s="904">
        <f t="shared" si="35"/>
        <v>1.0314065049255663</v>
      </c>
      <c r="JM12" s="886" t="s">
        <v>238</v>
      </c>
      <c r="JN12" s="209"/>
      <c r="JO12" s="210"/>
      <c r="JP12" s="209"/>
      <c r="JQ12" s="192">
        <v>7</v>
      </c>
      <c r="JR12" s="886">
        <v>7</v>
      </c>
      <c r="JS12" s="910" t="str">
        <f t="shared" si="7"/>
        <v>Q3</v>
      </c>
      <c r="JT12" s="911">
        <f t="shared" si="8"/>
        <v>1.0314065049255663</v>
      </c>
      <c r="JU12" s="860">
        <f t="shared" si="36"/>
        <v>3108.587379104767</v>
      </c>
      <c r="JV12" s="860">
        <f t="shared" si="37"/>
        <v>3206.2172439381743</v>
      </c>
      <c r="JW12" s="860">
        <f t="shared" si="9"/>
        <v>4886341</v>
      </c>
      <c r="JX12" s="860">
        <f t="shared" si="38"/>
        <v>4975126.6643143632</v>
      </c>
      <c r="JY12" s="860">
        <f t="shared" si="10"/>
        <v>2550044</v>
      </c>
      <c r="JZ12" s="860">
        <f t="shared" si="11"/>
        <v>2236730.9490803322</v>
      </c>
      <c r="KA12" s="860">
        <f t="shared" si="39"/>
        <v>270000</v>
      </c>
      <c r="KB12" s="860">
        <f t="shared" si="40"/>
        <v>97464.085617901525</v>
      </c>
      <c r="KC12" s="860">
        <f t="shared" si="41"/>
        <v>2823152.5873791049</v>
      </c>
      <c r="KD12" s="860">
        <f t="shared" si="41"/>
        <v>2337401.2519421717</v>
      </c>
      <c r="KE12" s="211"/>
      <c r="KF12" s="210"/>
      <c r="KG12" s="209"/>
      <c r="KH12" s="243">
        <f t="shared" si="65"/>
        <v>7</v>
      </c>
      <c r="KI12" s="891">
        <v>6</v>
      </c>
      <c r="KJ12" s="920">
        <f t="shared" si="66"/>
        <v>1</v>
      </c>
      <c r="KK12" s="920">
        <f t="shared" si="66"/>
        <v>1.0020004788656762</v>
      </c>
      <c r="KL12" s="683">
        <v>1.6406666700000001</v>
      </c>
      <c r="KM12" s="794">
        <f t="shared" si="67"/>
        <v>679536.0294417371</v>
      </c>
      <c r="KN12" s="683">
        <v>1.6406666700000001</v>
      </c>
      <c r="KO12" s="794">
        <f t="shared" si="42"/>
        <v>51015.340774611876</v>
      </c>
      <c r="KP12" s="683">
        <v>1.6406666700000001</v>
      </c>
      <c r="KQ12" s="794">
        <f t="shared" si="43"/>
        <v>394790.12032423163</v>
      </c>
      <c r="KR12" s="683">
        <v>1.6406666700000001</v>
      </c>
      <c r="KS12" s="794">
        <f t="shared" si="68"/>
        <v>618230.96803852217</v>
      </c>
      <c r="KT12" s="683">
        <v>1.6406666700000001</v>
      </c>
      <c r="KU12" s="794">
        <f t="shared" si="44"/>
        <v>69632.517961195263</v>
      </c>
      <c r="KV12" s="683">
        <v>1.6406666700000001</v>
      </c>
      <c r="KW12" s="794">
        <f t="shared" si="45"/>
        <v>63267.382396714318</v>
      </c>
      <c r="KX12" s="683">
        <v>1.6406666700000001</v>
      </c>
      <c r="KY12" s="794">
        <f t="shared" si="46"/>
        <v>37623.843602213696</v>
      </c>
      <c r="KZ12" s="683">
        <v>1.6406666700000001</v>
      </c>
      <c r="LA12" s="794">
        <f t="shared" si="47"/>
        <v>200235.52538667407</v>
      </c>
      <c r="LB12" s="650">
        <f t="shared" si="48"/>
        <v>2023024.5383145902</v>
      </c>
      <c r="LC12" s="650">
        <f t="shared" si="79"/>
        <v>2114331.7279259004</v>
      </c>
      <c r="LD12" s="16"/>
      <c r="LE12" s="220"/>
      <c r="LF12" s="12"/>
      <c r="LG12" s="192">
        <v>7</v>
      </c>
      <c r="LH12" s="921">
        <v>7</v>
      </c>
      <c r="LI12" s="860">
        <f t="shared" si="12"/>
        <v>2159897.9302000003</v>
      </c>
      <c r="LJ12" s="860">
        <f t="shared" si="12"/>
        <v>2823152.5873791049</v>
      </c>
      <c r="LK12" s="801">
        <f t="shared" si="13"/>
        <v>2337401.2519421717</v>
      </c>
      <c r="LL12" s="860">
        <f t="shared" si="14"/>
        <v>2272288.0644291709</v>
      </c>
      <c r="LM12" s="860">
        <f t="shared" si="14"/>
        <v>2753052.5518501359</v>
      </c>
      <c r="LN12" s="801">
        <f t="shared" si="49"/>
        <v>2839516.3103801599</v>
      </c>
      <c r="LO12" s="860">
        <f t="shared" si="50"/>
        <v>-112390.13422917062</v>
      </c>
      <c r="LP12" s="860">
        <f>LJ12-LM12</f>
        <v>70100.03552896902</v>
      </c>
      <c r="LQ12" s="860">
        <f t="shared" si="50"/>
        <v>-502115.05843798816</v>
      </c>
      <c r="LR12" s="12"/>
      <c r="LS12" s="13"/>
      <c r="LT12" s="12"/>
      <c r="LU12" s="192">
        <f t="shared" si="69"/>
        <v>7</v>
      </c>
      <c r="LV12" s="926" t="s">
        <v>209</v>
      </c>
      <c r="LW12" s="924">
        <f>LW9/(1-LW11)</f>
        <v>372540879.45078248</v>
      </c>
      <c r="LX12" s="12"/>
      <c r="LY12" s="13"/>
      <c r="LZ12" s="12"/>
      <c r="MA12" s="222">
        <f>MA11+1</f>
        <v>6</v>
      </c>
      <c r="MB12" s="833" t="s">
        <v>206</v>
      </c>
      <c r="MC12" s="929">
        <f>N12</f>
        <v>114085285.50147545</v>
      </c>
      <c r="MD12" s="930">
        <f t="shared" si="51"/>
        <v>5.1893262738545216</v>
      </c>
      <c r="ME12" s="839"/>
      <c r="MF12" s="931">
        <f>MF9+MF10+MF11</f>
        <v>130094079.84385797</v>
      </c>
      <c r="MG12" s="930">
        <f t="shared" si="52"/>
        <v>5.9175083240505115</v>
      </c>
      <c r="MH12" s="12"/>
      <c r="MI12" s="13"/>
      <c r="MJ12" s="12"/>
      <c r="MK12" s="222">
        <f t="shared" si="81"/>
        <v>6</v>
      </c>
      <c r="ML12" s="833" t="str">
        <f t="shared" si="53"/>
        <v>Net Revenue</v>
      </c>
      <c r="MM12" s="980">
        <v>136637688.37609816</v>
      </c>
      <c r="MN12" s="929">
        <f>MC12</f>
        <v>114085285.50147545</v>
      </c>
      <c r="MO12" s="929">
        <f t="shared" si="70"/>
        <v>-22552402.874622703</v>
      </c>
      <c r="MP12" s="940">
        <f t="shared" si="71"/>
        <v>-0.16505257914307458</v>
      </c>
      <c r="MQ12" s="12"/>
      <c r="MR12" s="13"/>
      <c r="MS12" s="12"/>
    </row>
    <row r="13" spans="1:405" ht="16.5" x14ac:dyDescent="0.3">
      <c r="B13" s="143">
        <f t="shared" si="72"/>
        <v>8</v>
      </c>
      <c r="C13" s="307" t="s">
        <v>207</v>
      </c>
      <c r="D13" s="5"/>
      <c r="E13" s="308"/>
      <c r="F13" s="225"/>
      <c r="G13" s="226"/>
      <c r="H13" s="225"/>
      <c r="I13" s="227"/>
      <c r="J13" s="228"/>
      <c r="K13" s="225"/>
      <c r="L13" s="227"/>
      <c r="M13" s="228"/>
      <c r="N13" s="225"/>
      <c r="O13" s="227"/>
      <c r="P13" s="228"/>
      <c r="Q13" s="225"/>
      <c r="R13" s="229"/>
      <c r="V13" s="185"/>
      <c r="W13" s="186" t="s">
        <v>25</v>
      </c>
      <c r="X13" s="269"/>
      <c r="Y13" s="270"/>
      <c r="Z13" s="270"/>
      <c r="AA13" s="270"/>
      <c r="AB13" s="189"/>
      <c r="AC13" s="236"/>
      <c r="AF13" s="271">
        <f t="shared" si="73"/>
        <v>7</v>
      </c>
      <c r="AG13" s="816" t="s">
        <v>187</v>
      </c>
      <c r="AH13" s="818">
        <f>IH26/AH11</f>
        <v>20.884539615581581</v>
      </c>
      <c r="AI13" s="818">
        <f>IJ26/AI11</f>
        <v>20.908056285798974</v>
      </c>
      <c r="AJ13" s="818">
        <f>IL26/AJ11</f>
        <v>31.509468342655907</v>
      </c>
      <c r="AL13" s="299"/>
      <c r="AN13" s="222">
        <v>8</v>
      </c>
      <c r="AO13" s="18"/>
      <c r="AQ13" s="660" t="s">
        <v>46</v>
      </c>
      <c r="AR13" s="791"/>
      <c r="AS13" s="821">
        <v>12784699.6164</v>
      </c>
      <c r="AT13" s="822">
        <v>1.2467034624748656</v>
      </c>
      <c r="AU13" s="783"/>
      <c r="AV13" s="821">
        <v>13940512.122199997</v>
      </c>
      <c r="AW13" s="822">
        <v>1.2917708159017343</v>
      </c>
      <c r="AX13" s="823">
        <f t="shared" ref="AX13:AX20" si="87">AW13/AT13-1</f>
        <v>3.6149216540559026E-2</v>
      </c>
      <c r="AY13" s="783"/>
      <c r="AZ13" s="821">
        <v>16686157.735618668</v>
      </c>
      <c r="BA13" s="822">
        <v>1.2933634349589591</v>
      </c>
      <c r="BB13" s="823">
        <f t="shared" ref="BB13:BB20" si="88">BA13/AW13-1</f>
        <v>1.2328959886844792E-3</v>
      </c>
      <c r="BC13" s="783"/>
      <c r="BD13" s="821">
        <v>19121063.134010617</v>
      </c>
      <c r="BE13" s="822">
        <v>1.3002123037527811</v>
      </c>
      <c r="BF13" s="823">
        <f t="shared" ref="BF13:BF20" si="89">BE13/BA13-1</f>
        <v>5.2953938612307905E-3</v>
      </c>
      <c r="BG13" s="783"/>
      <c r="BH13" s="821">
        <v>21345531.913160004</v>
      </c>
      <c r="BI13" s="822">
        <v>1.4046426840756656</v>
      </c>
      <c r="BJ13" s="823">
        <f t="shared" ref="BJ13:BJ20" si="90">BI13/BE13-1</f>
        <v>8.0317945016724401E-2</v>
      </c>
      <c r="BK13" s="783"/>
      <c r="BL13" s="821">
        <v>23918047.727200001</v>
      </c>
      <c r="BM13" s="822">
        <v>1.4218898216681388</v>
      </c>
      <c r="BN13" s="823">
        <f t="shared" ref="BN13:BN20" si="91">BM13/BI13-1</f>
        <v>1.2278665448517856E-2</v>
      </c>
      <c r="BO13" s="783"/>
      <c r="BP13" s="821">
        <v>28535397.766300008</v>
      </c>
      <c r="BQ13" s="822">
        <v>1.5384698585450844</v>
      </c>
      <c r="BR13" s="823">
        <f t="shared" ref="BR13:BR20" si="92">BQ13/BM13-1</f>
        <v>8.1989500944718685E-2</v>
      </c>
      <c r="BS13" s="783"/>
      <c r="BT13" s="660">
        <v>32304174</v>
      </c>
      <c r="BU13" s="660">
        <v>1.65</v>
      </c>
      <c r="BV13" s="660">
        <f t="shared" ref="BV13:BV20" si="93">BU13/BQ13-1</f>
        <v>7.2494199893125222E-2</v>
      </c>
      <c r="BW13" s="237">
        <v>36103152.515199989</v>
      </c>
      <c r="BX13" s="238">
        <v>1.8651083200592218</v>
      </c>
      <c r="BY13" s="824">
        <f t="shared" si="60"/>
        <v>0.13036867882377079</v>
      </c>
      <c r="BZ13" s="824">
        <v>36687111.743471108</v>
      </c>
      <c r="CA13" s="824">
        <v>1.7984785294214409</v>
      </c>
      <c r="CB13" s="824">
        <f t="shared" si="61"/>
        <v>-3.5724354409434667E-2</v>
      </c>
      <c r="CC13" s="956">
        <v>37593268.407299995</v>
      </c>
      <c r="CD13" s="956">
        <v>1.8087697778034015</v>
      </c>
      <c r="CE13" s="723">
        <f>CD13/CA13-1</f>
        <v>5.722196964603965E-3</v>
      </c>
      <c r="CF13" s="792">
        <f t="shared" ref="CF13:CG16" si="94">F14</f>
        <v>38001297.827399999</v>
      </c>
      <c r="CG13" s="824">
        <f t="shared" si="94"/>
        <v>1.8264813004078884</v>
      </c>
      <c r="CH13" s="723">
        <f t="shared" ref="CH13:CH20" si="95">CG13/CD13-1</f>
        <v>9.7920270571947299E-3</v>
      </c>
      <c r="CI13" s="825">
        <f t="shared" si="63"/>
        <v>1.9724044340199098</v>
      </c>
      <c r="CJ13" s="723">
        <f t="shared" ref="CJ13:CJ23" si="96">(CI13+1)^(1/(2022-2004))-1</f>
        <v>6.2389506119690852E-2</v>
      </c>
      <c r="DD13" s="12"/>
      <c r="DN13" s="12"/>
      <c r="DU13" s="12"/>
      <c r="DV13" s="12"/>
      <c r="DW13" s="12"/>
      <c r="DX13" s="12"/>
      <c r="DY13" s="12"/>
      <c r="EE13" s="264"/>
      <c r="EQ13" s="16"/>
      <c r="ER13" s="266"/>
      <c r="FG13" s="16"/>
      <c r="FH13" s="266"/>
      <c r="FJ13" s="222">
        <f t="shared" si="78"/>
        <v>8</v>
      </c>
      <c r="FK13" s="242"/>
      <c r="FL13" s="877" t="s">
        <v>210</v>
      </c>
      <c r="FM13" s="650">
        <v>287774.28249999997</v>
      </c>
      <c r="FN13" s="650">
        <v>432005.11000000004</v>
      </c>
      <c r="FO13" s="650">
        <v>632877.02193000005</v>
      </c>
      <c r="FP13" s="794">
        <f t="shared" si="21"/>
        <v>1352656.4144300001</v>
      </c>
      <c r="FQ13" s="650">
        <v>289211.55522727268</v>
      </c>
      <c r="FR13" s="650">
        <v>432005.11000000004</v>
      </c>
      <c r="FS13" s="650">
        <v>644764.52193000005</v>
      </c>
      <c r="FT13" s="650">
        <v>1365981.1871572728</v>
      </c>
      <c r="FU13" s="955">
        <v>1365981.1871572728</v>
      </c>
      <c r="FV13" s="16"/>
      <c r="FW13" s="266"/>
      <c r="GJ13" s="203"/>
      <c r="GZ13" s="222">
        <v>8</v>
      </c>
      <c r="HA13" s="663">
        <v>8</v>
      </c>
      <c r="HB13" s="663">
        <v>10</v>
      </c>
      <c r="HC13" s="663">
        <v>10</v>
      </c>
      <c r="HD13" s="682">
        <v>43550832</v>
      </c>
      <c r="HE13" s="682">
        <v>44757820</v>
      </c>
      <c r="HF13" s="724">
        <f t="shared" si="22"/>
        <v>1</v>
      </c>
      <c r="HG13" s="724">
        <f t="shared" si="23"/>
        <v>1.0277144647890999</v>
      </c>
      <c r="HH13" s="723">
        <v>1</v>
      </c>
      <c r="HI13" s="723">
        <v>0</v>
      </c>
      <c r="HJ13" s="723">
        <v>0</v>
      </c>
      <c r="HN13" s="243">
        <v>8</v>
      </c>
      <c r="HO13" s="891">
        <v>8</v>
      </c>
      <c r="HP13" s="793">
        <f t="shared" si="2"/>
        <v>1.0277144647890999</v>
      </c>
      <c r="HQ13" s="650">
        <v>0</v>
      </c>
      <c r="HR13" s="794">
        <f t="shared" si="24"/>
        <v>0</v>
      </c>
      <c r="HS13" s="650">
        <v>4712143</v>
      </c>
      <c r="HT13" s="975">
        <v>4843043</v>
      </c>
      <c r="HU13" s="650">
        <v>2193241.5596000003</v>
      </c>
      <c r="HV13" s="975">
        <v>2385075</v>
      </c>
      <c r="HW13" s="650">
        <v>225000</v>
      </c>
      <c r="HX13" s="955">
        <v>225000</v>
      </c>
      <c r="HY13" s="650">
        <f t="shared" si="25"/>
        <v>2418241.5596000003</v>
      </c>
      <c r="HZ13" s="650">
        <f t="shared" si="25"/>
        <v>2610075</v>
      </c>
      <c r="IA13" s="206"/>
      <c r="IB13" s="207"/>
      <c r="IC13" s="206"/>
      <c r="ID13" s="244">
        <v>8</v>
      </c>
      <c r="IE13" s="891">
        <v>8</v>
      </c>
      <c r="IF13" s="899">
        <f t="shared" si="3"/>
        <v>1</v>
      </c>
      <c r="IG13" s="900">
        <f t="shared" si="3"/>
        <v>1.0277144647890999</v>
      </c>
      <c r="IH13" s="955">
        <v>669480.85743452248</v>
      </c>
      <c r="II13" s="794">
        <f t="shared" si="64"/>
        <v>688035.1610848679</v>
      </c>
      <c r="IJ13" s="955">
        <v>51713</v>
      </c>
      <c r="IK13" s="794">
        <f>IJ13*$IG13</f>
        <v>53146.19811763872</v>
      </c>
      <c r="IL13" s="955">
        <v>554229.39256547752</v>
      </c>
      <c r="IM13" s="794">
        <f t="shared" si="82"/>
        <v>554229.39256547752</v>
      </c>
      <c r="IN13" s="955">
        <v>529630.91050901939</v>
      </c>
      <c r="IO13" s="995">
        <v>529630.91050901939</v>
      </c>
      <c r="IP13" s="955">
        <v>32619.339000000007</v>
      </c>
      <c r="IQ13" s="794">
        <f t="shared" si="27"/>
        <v>33523.366522159224</v>
      </c>
      <c r="IR13" s="955">
        <v>100134.73700000002</v>
      </c>
      <c r="IS13" s="794">
        <f t="shared" si="28"/>
        <v>102909.91764275231</v>
      </c>
      <c r="IT13" s="955">
        <v>14399.843999999999</v>
      </c>
      <c r="IU13" s="794">
        <f t="shared" si="29"/>
        <v>14798.927969506531</v>
      </c>
      <c r="IV13" s="955">
        <v>322924.64970000001</v>
      </c>
      <c r="IW13" s="794">
        <f t="shared" si="30"/>
        <v>331874.3335336431</v>
      </c>
      <c r="IX13" s="650">
        <f t="shared" si="31"/>
        <v>2275132.7302090195</v>
      </c>
      <c r="IY13" s="650">
        <f t="shared" si="31"/>
        <v>2308148.2079450646</v>
      </c>
      <c r="IZ13" s="683">
        <f t="shared" si="4"/>
        <v>5.1569719167400576</v>
      </c>
      <c r="JD13" s="222">
        <v>8</v>
      </c>
      <c r="JE13" s="663">
        <v>8</v>
      </c>
      <c r="JF13" s="660">
        <f t="shared" si="5"/>
        <v>10</v>
      </c>
      <c r="JG13" s="660">
        <f t="shared" si="32"/>
        <v>10</v>
      </c>
      <c r="JH13" s="905">
        <f t="shared" si="6"/>
        <v>44757820</v>
      </c>
      <c r="JI13" s="905">
        <f t="shared" si="83"/>
        <v>44847357.072983742</v>
      </c>
      <c r="JJ13" s="906">
        <f t="shared" si="33"/>
        <v>1</v>
      </c>
      <c r="JK13" s="906">
        <f t="shared" si="34"/>
        <v>1.0020004788656762</v>
      </c>
      <c r="JL13" s="906">
        <f t="shared" si="35"/>
        <v>1.0363119982280278</v>
      </c>
      <c r="JM13" s="663" t="s">
        <v>424</v>
      </c>
      <c r="JN13" s="209"/>
      <c r="JO13" s="210"/>
      <c r="JP13" s="209"/>
      <c r="JQ13" s="222">
        <v>8</v>
      </c>
      <c r="JR13" s="663">
        <v>8</v>
      </c>
      <c r="JS13" s="914" t="str">
        <f t="shared" si="7"/>
        <v>Q4</v>
      </c>
      <c r="JT13" s="913">
        <f t="shared" si="8"/>
        <v>1.0363119982280278</v>
      </c>
      <c r="JU13" s="671">
        <f t="shared" si="36"/>
        <v>0</v>
      </c>
      <c r="JV13" s="671">
        <f t="shared" si="37"/>
        <v>0</v>
      </c>
      <c r="JW13" s="671">
        <f t="shared" si="9"/>
        <v>4843043</v>
      </c>
      <c r="JX13" s="671">
        <f t="shared" si="38"/>
        <v>4945778.4046398867</v>
      </c>
      <c r="JY13" s="671">
        <f t="shared" si="10"/>
        <v>2385075</v>
      </c>
      <c r="JZ13" s="671">
        <f t="shared" si="11"/>
        <v>2223536.4788397248</v>
      </c>
      <c r="KA13" s="671">
        <f t="shared" si="39"/>
        <v>225000</v>
      </c>
      <c r="KB13" s="671">
        <f t="shared" si="40"/>
        <v>96889.145222078689</v>
      </c>
      <c r="KC13" s="671">
        <f t="shared" si="41"/>
        <v>2610075</v>
      </c>
      <c r="KD13" s="671">
        <f t="shared" si="41"/>
        <v>2320425.6240618033</v>
      </c>
      <c r="KE13" s="211"/>
      <c r="KF13" s="210"/>
      <c r="KG13" s="209"/>
      <c r="KH13" s="245">
        <f t="shared" si="65"/>
        <v>8</v>
      </c>
      <c r="KI13" s="917">
        <v>7</v>
      </c>
      <c r="KJ13" s="918">
        <f t="shared" si="66"/>
        <v>1</v>
      </c>
      <c r="KK13" s="918">
        <f t="shared" si="66"/>
        <v>1.0020004788656762</v>
      </c>
      <c r="KL13" s="898">
        <v>1.6626666699999999</v>
      </c>
      <c r="KM13" s="801">
        <f t="shared" si="67"/>
        <v>871636.03564490937</v>
      </c>
      <c r="KN13" s="898">
        <v>1.6626666699999999</v>
      </c>
      <c r="KO13" s="801">
        <f t="shared" si="42"/>
        <v>106763.22368238746</v>
      </c>
      <c r="KP13" s="898">
        <v>1.6626666699999999</v>
      </c>
      <c r="KQ13" s="801">
        <f t="shared" si="43"/>
        <v>526183.7318615996</v>
      </c>
      <c r="KR13" s="898">
        <v>1.6626666699999999</v>
      </c>
      <c r="KS13" s="801">
        <f t="shared" si="68"/>
        <v>694521.54809798126</v>
      </c>
      <c r="KT13" s="898">
        <v>1.6626666699999999</v>
      </c>
      <c r="KU13" s="801">
        <f t="shared" si="44"/>
        <v>217829.03805236626</v>
      </c>
      <c r="KV13" s="898">
        <v>1.6626666699999999</v>
      </c>
      <c r="KW13" s="801">
        <f t="shared" si="45"/>
        <v>81256.717547149135</v>
      </c>
      <c r="KX13" s="898">
        <v>1.6626666699999999</v>
      </c>
      <c r="KY13" s="801">
        <f t="shared" si="46"/>
        <v>73255.63678862642</v>
      </c>
      <c r="KZ13" s="898">
        <v>1.6626666699999999</v>
      </c>
      <c r="LA13" s="919">
        <f t="shared" si="47"/>
        <v>268070.37870514119</v>
      </c>
      <c r="LB13" s="646">
        <f t="shared" si="48"/>
        <v>2753052.5518501359</v>
      </c>
      <c r="LC13" s="646">
        <f t="shared" si="79"/>
        <v>2839516.3103801599</v>
      </c>
      <c r="LD13" s="16"/>
      <c r="LE13" s="220"/>
      <c r="LG13" s="222">
        <v>8</v>
      </c>
      <c r="LH13" s="922">
        <v>8</v>
      </c>
      <c r="LI13" s="650">
        <f t="shared" si="12"/>
        <v>2418241.5596000003</v>
      </c>
      <c r="LJ13" s="650">
        <f t="shared" si="12"/>
        <v>2610075</v>
      </c>
      <c r="LK13" s="794">
        <f t="shared" si="13"/>
        <v>2320425.6240618033</v>
      </c>
      <c r="LL13" s="650">
        <f t="shared" si="14"/>
        <v>2275132.7302090195</v>
      </c>
      <c r="LM13" s="650">
        <f t="shared" si="14"/>
        <v>2308148.2079450646</v>
      </c>
      <c r="LN13" s="794">
        <f t="shared" si="49"/>
        <v>2391961.6815819913</v>
      </c>
      <c r="LO13" s="650">
        <f t="shared" si="50"/>
        <v>143108.82939098077</v>
      </c>
      <c r="LP13" s="650">
        <f t="shared" si="50"/>
        <v>301926.79205493536</v>
      </c>
      <c r="LQ13" s="650">
        <f t="shared" si="50"/>
        <v>-71536.057520187926</v>
      </c>
      <c r="LU13" s="222">
        <f t="shared" si="69"/>
        <v>8</v>
      </c>
      <c r="LV13" s="927" t="s">
        <v>211</v>
      </c>
      <c r="LW13" s="309">
        <f>LW12-LW9</f>
        <v>20079953.402397215</v>
      </c>
      <c r="MA13" s="192">
        <f t="shared" si="80"/>
        <v>7</v>
      </c>
      <c r="MB13" s="194" t="s">
        <v>207</v>
      </c>
      <c r="MC13" s="197"/>
      <c r="MD13" s="246"/>
      <c r="ME13" s="29"/>
      <c r="MF13" s="247"/>
      <c r="MG13" s="246"/>
      <c r="MK13" s="192">
        <f t="shared" si="81"/>
        <v>7</v>
      </c>
      <c r="ML13" s="194" t="str">
        <f t="shared" si="53"/>
        <v>Expenses</v>
      </c>
      <c r="MM13" s="249"/>
      <c r="MN13" s="197"/>
      <c r="MO13" s="197"/>
      <c r="MP13" s="261"/>
    </row>
    <row r="14" spans="1:405" s="29" customFormat="1" ht="16.5" x14ac:dyDescent="0.3">
      <c r="B14" s="181">
        <f t="shared" si="72"/>
        <v>9</v>
      </c>
      <c r="C14" s="251"/>
      <c r="D14" s="796" t="s">
        <v>46</v>
      </c>
      <c r="E14" s="797"/>
      <c r="F14" s="798">
        <f>CS9</f>
        <v>38001297.827399999</v>
      </c>
      <c r="G14" s="799">
        <f t="shared" ref="G14:G22" si="97">F14/F$24*100</f>
        <v>1.8264813004078884</v>
      </c>
      <c r="H14" s="798">
        <f>CW9</f>
        <v>36813199.8476827</v>
      </c>
      <c r="I14" s="800">
        <f t="shared" ref="I14:I22" si="98">H14/H$24*100</f>
        <v>1.7601081809735752</v>
      </c>
      <c r="J14" s="801">
        <f t="shared" si="54"/>
        <v>-1188097.9797172993</v>
      </c>
      <c r="K14" s="798">
        <f>II26</f>
        <v>38759425.026482746</v>
      </c>
      <c r="L14" s="800">
        <f t="shared" ref="L14:L22" si="99">K14/K$24*100</f>
        <v>1.7665527038445854</v>
      </c>
      <c r="M14" s="801">
        <f t="shared" si="55"/>
        <v>1946225.1788000464</v>
      </c>
      <c r="N14" s="798">
        <f>KM27</f>
        <v>40150541.638328679</v>
      </c>
      <c r="O14" s="800">
        <f t="shared" ref="O14:O22" si="100">N14/N$24*100</f>
        <v>1.826302662235739</v>
      </c>
      <c r="P14" s="801">
        <f t="shared" si="56"/>
        <v>1391116.6118459329</v>
      </c>
      <c r="Q14" s="798">
        <f t="shared" si="57"/>
        <v>2149243.81092868</v>
      </c>
      <c r="R14" s="802">
        <f t="shared" si="58"/>
        <v>-9.7804544787583048E-5</v>
      </c>
      <c r="S14" s="12"/>
      <c r="T14" s="13"/>
      <c r="U14" s="12"/>
      <c r="V14" s="165">
        <f>V12+1</f>
        <v>6</v>
      </c>
      <c r="W14" s="805" t="s">
        <v>172</v>
      </c>
      <c r="X14" s="650">
        <f>SUMPRODUCT($LP$6:$LP$25,HH6:HH25)</f>
        <v>20160.815973906778</v>
      </c>
      <c r="Y14" s="650">
        <f>SUMPRODUCT($LP$6:$LP$25,HI6:HI25)</f>
        <v>6169011.8022504635</v>
      </c>
      <c r="Z14" s="650">
        <f>SUMPRODUCT($LP$6:$LP$25,HJ6:HJ25)</f>
        <v>16392300.707405737</v>
      </c>
      <c r="AA14" s="650">
        <f>SUM(X14:Z14)</f>
        <v>22581473.325630106</v>
      </c>
      <c r="AB14" s="230" t="s">
        <v>430</v>
      </c>
      <c r="AC14" s="12"/>
      <c r="AD14" s="13"/>
      <c r="AE14" s="12"/>
      <c r="AF14" s="252">
        <f t="shared" si="73"/>
        <v>8</v>
      </c>
      <c r="AG14" s="191" t="s">
        <v>25</v>
      </c>
      <c r="AK14" s="12"/>
      <c r="AL14" s="299"/>
      <c r="AM14" s="12"/>
      <c r="AN14" s="192">
        <v>9</v>
      </c>
      <c r="AO14" s="254"/>
      <c r="AQ14" s="796" t="s">
        <v>212</v>
      </c>
      <c r="AR14" s="797"/>
      <c r="AS14" s="827">
        <v>936011.74</v>
      </c>
      <c r="AT14" s="828">
        <v>9.1275439563570718E-2</v>
      </c>
      <c r="AU14" s="829"/>
      <c r="AV14" s="827">
        <v>1523068.1600000001</v>
      </c>
      <c r="AW14" s="828">
        <v>0.14113218958319465</v>
      </c>
      <c r="AX14" s="830">
        <f t="shared" si="87"/>
        <v>0.54622306129679221</v>
      </c>
      <c r="AY14" s="829"/>
      <c r="AZ14" s="827">
        <v>2211207.06</v>
      </c>
      <c r="BA14" s="828">
        <v>0.17139322328365042</v>
      </c>
      <c r="BB14" s="830">
        <f t="shared" si="88"/>
        <v>0.2144162418922686</v>
      </c>
      <c r="BC14" s="829"/>
      <c r="BD14" s="827">
        <v>2871478.9273906099</v>
      </c>
      <c r="BE14" s="828">
        <v>0.19525756518837487</v>
      </c>
      <c r="BF14" s="830">
        <f t="shared" si="89"/>
        <v>0.13923737151048088</v>
      </c>
      <c r="BG14" s="829"/>
      <c r="BH14" s="827">
        <v>3068616.0090000001</v>
      </c>
      <c r="BI14" s="828">
        <v>0.20193027022305846</v>
      </c>
      <c r="BJ14" s="830">
        <f t="shared" si="90"/>
        <v>3.4173861731022326E-2</v>
      </c>
      <c r="BK14" s="829"/>
      <c r="BL14" s="827">
        <v>3403828.76</v>
      </c>
      <c r="BM14" s="828">
        <v>0.20235219545286309</v>
      </c>
      <c r="BN14" s="830">
        <f t="shared" si="91"/>
        <v>2.0894600365688465E-3</v>
      </c>
      <c r="BO14" s="829"/>
      <c r="BP14" s="827">
        <v>4538272.1100000003</v>
      </c>
      <c r="BQ14" s="828">
        <v>0.24467837835281422</v>
      </c>
      <c r="BR14" s="830">
        <f t="shared" si="92"/>
        <v>0.20917086076197666</v>
      </c>
      <c r="BS14" s="829"/>
      <c r="BT14" s="796">
        <v>5378012</v>
      </c>
      <c r="BU14" s="796">
        <v>0.27</v>
      </c>
      <c r="BV14" s="796">
        <f t="shared" si="93"/>
        <v>0.10348941258174138</v>
      </c>
      <c r="BW14" s="258">
        <v>1768561.8457999995</v>
      </c>
      <c r="BX14" s="259">
        <v>9.1364858283556505E-2</v>
      </c>
      <c r="BY14" s="831">
        <f t="shared" si="60"/>
        <v>-0.66161163598682782</v>
      </c>
      <c r="BZ14" s="831">
        <v>1718931.8145400002</v>
      </c>
      <c r="CA14" s="831">
        <v>8.4265613047061122E-2</v>
      </c>
      <c r="CB14" s="831">
        <f t="shared" si="61"/>
        <v>-7.7702142485269743E-2</v>
      </c>
      <c r="CC14" s="956">
        <v>2147244.1196499998</v>
      </c>
      <c r="CD14" s="956">
        <v>0.10331291834244472</v>
      </c>
      <c r="CE14" s="802">
        <f t="shared" ref="CE14:CE20" si="101">CD14/CA14-1</f>
        <v>0.22603888593020671</v>
      </c>
      <c r="CF14" s="798">
        <f t="shared" si="94"/>
        <v>1804966.5518499999</v>
      </c>
      <c r="CG14" s="831">
        <f t="shared" si="94"/>
        <v>8.6753291158353285E-2</v>
      </c>
      <c r="CH14" s="802">
        <f t="shared" si="95"/>
        <v>-0.16028612345652937</v>
      </c>
      <c r="CI14" s="832">
        <f t="shared" si="63"/>
        <v>0.92835888132129618</v>
      </c>
      <c r="CJ14" s="802">
        <f t="shared" si="96"/>
        <v>3.7155250184706556E-2</v>
      </c>
      <c r="CK14" s="12"/>
      <c r="CL14" s="13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3"/>
      <c r="CZ14" s="12"/>
      <c r="DA14" s="12"/>
      <c r="DB14" s="12"/>
      <c r="DC14" s="12"/>
      <c r="DD14" s="12"/>
      <c r="DE14" s="12"/>
      <c r="DF14" s="12"/>
      <c r="DG14" s="12"/>
      <c r="DH14" s="12"/>
      <c r="DI14" s="13"/>
      <c r="DJ14" s="12"/>
      <c r="DK14" s="12"/>
      <c r="DL14" s="12"/>
      <c r="DM14" s="12"/>
      <c r="DN14" s="12"/>
      <c r="DO14" s="12"/>
      <c r="DP14" s="12"/>
      <c r="DQ14" s="12"/>
      <c r="DR14" s="13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3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6"/>
      <c r="ER14" s="266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6"/>
      <c r="FH14" s="266"/>
      <c r="FI14" s="12"/>
      <c r="FJ14" s="192">
        <f t="shared" si="78"/>
        <v>9</v>
      </c>
      <c r="FK14" s="265"/>
      <c r="FL14" s="878" t="s">
        <v>213</v>
      </c>
      <c r="FM14" s="860">
        <v>2536</v>
      </c>
      <c r="FN14" s="860">
        <v>11058.939999999999</v>
      </c>
      <c r="FO14" s="860">
        <v>30774.82</v>
      </c>
      <c r="FP14" s="801">
        <f t="shared" si="21"/>
        <v>44369.759999999995</v>
      </c>
      <c r="FQ14" s="860">
        <v>2536</v>
      </c>
      <c r="FR14" s="860">
        <v>11058.939999999999</v>
      </c>
      <c r="FS14" s="860">
        <v>30774.82</v>
      </c>
      <c r="FT14" s="860">
        <v>44369.759999999995</v>
      </c>
      <c r="FU14" s="955">
        <v>44369.759999999995</v>
      </c>
      <c r="FV14" s="16"/>
      <c r="FW14" s="266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5"/>
      <c r="GJ14" s="266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290"/>
      <c r="GX14" s="12"/>
      <c r="GY14" s="12"/>
      <c r="GZ14" s="192">
        <v>9</v>
      </c>
      <c r="HA14" s="886">
        <v>9</v>
      </c>
      <c r="HB14" s="886">
        <v>11</v>
      </c>
      <c r="HC14" s="886">
        <v>11</v>
      </c>
      <c r="HD14" s="887">
        <v>57378324</v>
      </c>
      <c r="HE14" s="887">
        <v>59003223</v>
      </c>
      <c r="HF14" s="800">
        <f t="shared" si="22"/>
        <v>1</v>
      </c>
      <c r="HG14" s="800">
        <f t="shared" si="23"/>
        <v>1.0283190390852128</v>
      </c>
      <c r="HH14" s="802">
        <v>1</v>
      </c>
      <c r="HI14" s="802">
        <v>0</v>
      </c>
      <c r="HJ14" s="802">
        <v>0</v>
      </c>
      <c r="HK14" s="12"/>
      <c r="HL14" s="13"/>
      <c r="HM14" s="12"/>
      <c r="HN14" s="267">
        <v>9</v>
      </c>
      <c r="HO14" s="892">
        <v>9</v>
      </c>
      <c r="HP14" s="799">
        <f t="shared" si="2"/>
        <v>1.0283190390852128</v>
      </c>
      <c r="HQ14" s="860">
        <v>0</v>
      </c>
      <c r="HR14" s="801">
        <f t="shared" si="24"/>
        <v>0</v>
      </c>
      <c r="HS14" s="860">
        <v>6247804</v>
      </c>
      <c r="HT14" s="975">
        <v>6429726</v>
      </c>
      <c r="HU14" s="860">
        <v>2769420.5663999999</v>
      </c>
      <c r="HV14" s="975">
        <v>3218850</v>
      </c>
      <c r="HW14" s="860">
        <v>247500</v>
      </c>
      <c r="HX14" s="955">
        <v>247500</v>
      </c>
      <c r="HY14" s="860">
        <f t="shared" si="25"/>
        <v>3016920.5663999999</v>
      </c>
      <c r="HZ14" s="860">
        <f t="shared" si="25"/>
        <v>3466350</v>
      </c>
      <c r="IA14" s="206"/>
      <c r="IB14" s="207"/>
      <c r="IC14" s="206"/>
      <c r="ID14" s="208">
        <v>9</v>
      </c>
      <c r="IE14" s="892">
        <v>9</v>
      </c>
      <c r="IF14" s="896">
        <f t="shared" si="3"/>
        <v>1</v>
      </c>
      <c r="IG14" s="897">
        <f t="shared" si="3"/>
        <v>1.0283190390852128</v>
      </c>
      <c r="IH14" s="955">
        <v>785780.35668281571</v>
      </c>
      <c r="II14" s="801">
        <f t="shared" si="64"/>
        <v>808032.90131610888</v>
      </c>
      <c r="IJ14" s="955">
        <v>102327.17</v>
      </c>
      <c r="IK14" s="801">
        <f t="shared" si="26"/>
        <v>105224.97712670921</v>
      </c>
      <c r="IL14" s="955">
        <v>563972.59331718413</v>
      </c>
      <c r="IM14" s="801">
        <f t="shared" si="82"/>
        <v>563972.59331718413</v>
      </c>
      <c r="IN14" s="955">
        <v>665395.07612386486</v>
      </c>
      <c r="IO14" s="995">
        <v>665395.07612386486</v>
      </c>
      <c r="IP14" s="955">
        <v>66175.421999999991</v>
      </c>
      <c r="IQ14" s="801">
        <f t="shared" si="27"/>
        <v>68049.446362098446</v>
      </c>
      <c r="IR14" s="955">
        <v>70327.29800000001</v>
      </c>
      <c r="IS14" s="801">
        <f t="shared" si="28"/>
        <v>72318.899500819418</v>
      </c>
      <c r="IT14" s="955">
        <v>69709.170000000013</v>
      </c>
      <c r="IU14" s="801">
        <f t="shared" si="29"/>
        <v>71683.26670982776</v>
      </c>
      <c r="IV14" s="955">
        <v>823991.9706</v>
      </c>
      <c r="IW14" s="801">
        <f t="shared" si="30"/>
        <v>847326.63142132293</v>
      </c>
      <c r="IX14" s="860">
        <f t="shared" si="31"/>
        <v>3147679.0567238643</v>
      </c>
      <c r="IY14" s="860">
        <f t="shared" si="31"/>
        <v>3202003.7918779361</v>
      </c>
      <c r="IZ14" s="898">
        <f t="shared" si="4"/>
        <v>5.4268286189687229</v>
      </c>
      <c r="JA14" s="12"/>
      <c r="JB14" s="13"/>
      <c r="JC14" s="12"/>
      <c r="JD14" s="192">
        <v>9</v>
      </c>
      <c r="JE14" s="886">
        <v>9</v>
      </c>
      <c r="JF14" s="796">
        <f t="shared" si="5"/>
        <v>11</v>
      </c>
      <c r="JG14" s="796">
        <f t="shared" si="32"/>
        <v>11</v>
      </c>
      <c r="JH14" s="859">
        <f t="shared" si="6"/>
        <v>59003223</v>
      </c>
      <c r="JI14" s="859">
        <f t="shared" si="83"/>
        <v>59121257.700618282</v>
      </c>
      <c r="JJ14" s="904">
        <f t="shared" si="33"/>
        <v>1</v>
      </c>
      <c r="JK14" s="904">
        <f t="shared" si="34"/>
        <v>1.0020004788656762</v>
      </c>
      <c r="JL14" s="904">
        <f t="shared" si="35"/>
        <v>1.0315022403763143</v>
      </c>
      <c r="JM14" s="886" t="s">
        <v>238</v>
      </c>
      <c r="JN14" s="209"/>
      <c r="JO14" s="210"/>
      <c r="JP14" s="209"/>
      <c r="JQ14" s="192">
        <v>9</v>
      </c>
      <c r="JR14" s="886">
        <v>9</v>
      </c>
      <c r="JS14" s="910" t="str">
        <f t="shared" si="7"/>
        <v>Q3</v>
      </c>
      <c r="JT14" s="911">
        <f t="shared" si="8"/>
        <v>1.0315022403763143</v>
      </c>
      <c r="JU14" s="860">
        <f t="shared" si="36"/>
        <v>0</v>
      </c>
      <c r="JV14" s="860">
        <f t="shared" si="37"/>
        <v>0</v>
      </c>
      <c r="JW14" s="860">
        <f t="shared" si="9"/>
        <v>6429726</v>
      </c>
      <c r="JX14" s="860">
        <f t="shared" si="38"/>
        <v>6519907.9427360725</v>
      </c>
      <c r="JY14" s="860">
        <f t="shared" si="10"/>
        <v>3218850</v>
      </c>
      <c r="JZ14" s="860">
        <f t="shared" si="11"/>
        <v>2931237.9090316519</v>
      </c>
      <c r="KA14" s="860">
        <f t="shared" si="39"/>
        <v>247500</v>
      </c>
      <c r="KB14" s="860">
        <f t="shared" si="40"/>
        <v>127726.77136236065</v>
      </c>
      <c r="KC14" s="860">
        <f t="shared" si="41"/>
        <v>3466350</v>
      </c>
      <c r="KD14" s="860">
        <f t="shared" si="41"/>
        <v>3058964.6803940125</v>
      </c>
      <c r="KE14" s="211"/>
      <c r="KF14" s="210"/>
      <c r="KG14" s="209"/>
      <c r="KH14" s="243">
        <f t="shared" si="65"/>
        <v>9</v>
      </c>
      <c r="KI14" s="891">
        <v>8</v>
      </c>
      <c r="KJ14" s="920">
        <f t="shared" si="66"/>
        <v>1</v>
      </c>
      <c r="KK14" s="920">
        <f t="shared" si="66"/>
        <v>1.0020004788656762</v>
      </c>
      <c r="KL14" s="683">
        <v>1.6546666699999999</v>
      </c>
      <c r="KM14" s="794">
        <f t="shared" si="67"/>
        <v>713688.18205464853</v>
      </c>
      <c r="KN14" s="683">
        <v>1.6546666699999999</v>
      </c>
      <c r="KO14" s="794">
        <f t="shared" si="42"/>
        <v>55127.725533514102</v>
      </c>
      <c r="KP14" s="683">
        <v>1.6546666699999999</v>
      </c>
      <c r="KQ14" s="794">
        <f t="shared" si="43"/>
        <v>573745.77112461848</v>
      </c>
      <c r="KR14" s="683">
        <v>1.6546666699999999</v>
      </c>
      <c r="KS14" s="794">
        <f t="shared" si="68"/>
        <v>548281.08945075667</v>
      </c>
      <c r="KT14" s="683">
        <v>1.6546666699999999</v>
      </c>
      <c r="KU14" s="794">
        <f t="shared" si="44"/>
        <v>34773.267214755535</v>
      </c>
      <c r="KV14" s="683">
        <v>1.6546666699999999</v>
      </c>
      <c r="KW14" s="794">
        <f t="shared" si="45"/>
        <v>106746.85857920874</v>
      </c>
      <c r="KX14" s="683">
        <v>1.6546666699999999</v>
      </c>
      <c r="KY14" s="794">
        <f t="shared" si="46"/>
        <v>15350.698040288127</v>
      </c>
      <c r="KZ14" s="683">
        <v>1.6546666699999999</v>
      </c>
      <c r="LA14" s="794">
        <f t="shared" si="47"/>
        <v>344248.08958420111</v>
      </c>
      <c r="LB14" s="650">
        <f t="shared" si="48"/>
        <v>2308148.2079450646</v>
      </c>
      <c r="LC14" s="650">
        <f t="shared" si="79"/>
        <v>2391961.6815819913</v>
      </c>
      <c r="LD14" s="16"/>
      <c r="LE14" s="220"/>
      <c r="LF14" s="12"/>
      <c r="LG14" s="192">
        <v>9</v>
      </c>
      <c r="LH14" s="921">
        <v>9</v>
      </c>
      <c r="LI14" s="860">
        <f t="shared" si="12"/>
        <v>3016920.5663999999</v>
      </c>
      <c r="LJ14" s="860">
        <f t="shared" si="12"/>
        <v>3466350</v>
      </c>
      <c r="LK14" s="801">
        <f t="shared" si="13"/>
        <v>3058964.6803940125</v>
      </c>
      <c r="LL14" s="860">
        <f t="shared" si="14"/>
        <v>3147679.0567238643</v>
      </c>
      <c r="LM14" s="860">
        <f t="shared" si="14"/>
        <v>3202003.7918779361</v>
      </c>
      <c r="LN14" s="801">
        <f t="shared" si="49"/>
        <v>3302874.0850155447</v>
      </c>
      <c r="LO14" s="860">
        <f t="shared" si="50"/>
        <v>-130758.49032386439</v>
      </c>
      <c r="LP14" s="860">
        <f t="shared" si="50"/>
        <v>264346.20812206389</v>
      </c>
      <c r="LQ14" s="860">
        <f t="shared" si="50"/>
        <v>-243909.40462153219</v>
      </c>
      <c r="LR14" s="12"/>
      <c r="LS14" s="13"/>
      <c r="LT14" s="12"/>
      <c r="LU14" s="5"/>
      <c r="LV14" s="12"/>
      <c r="LW14" s="12"/>
      <c r="LX14" s="12"/>
      <c r="LY14" s="13"/>
      <c r="LZ14" s="12"/>
      <c r="MA14" s="222">
        <f t="shared" si="80"/>
        <v>8</v>
      </c>
      <c r="MB14" s="812" t="s">
        <v>46</v>
      </c>
      <c r="MC14" s="650">
        <f t="shared" ref="MC14:MC21" si="102">N14</f>
        <v>40150541.638328679</v>
      </c>
      <c r="MD14" s="747">
        <f t="shared" ref="MD14:MD21" si="103">MC14/$MC$34*100</f>
        <v>1.826302662235739</v>
      </c>
      <c r="ME14" s="660"/>
      <c r="MF14" s="792">
        <f t="shared" ref="MF14:MF20" si="104">MC14</f>
        <v>40150541.638328679</v>
      </c>
      <c r="MG14" s="747">
        <f t="shared" ref="MG14:MG21" si="105">MF14/$MG$34*100</f>
        <v>1.826302662235739</v>
      </c>
      <c r="MH14" s="12"/>
      <c r="MI14" s="13"/>
      <c r="MJ14" s="12"/>
      <c r="MK14" s="222">
        <f t="shared" si="81"/>
        <v>8</v>
      </c>
      <c r="ML14" s="231" t="str">
        <f t="shared" si="53"/>
        <v>Direct Labour</v>
      </c>
      <c r="MM14" s="979">
        <v>33580635.97480382</v>
      </c>
      <c r="MN14" s="650">
        <f t="shared" ref="MN14:MN21" si="106">MC14</f>
        <v>40150541.638328679</v>
      </c>
      <c r="MO14" s="650">
        <f t="shared" si="70"/>
        <v>6569905.6635248587</v>
      </c>
      <c r="MP14" s="823">
        <f t="shared" si="71"/>
        <v>0.19564565925595875</v>
      </c>
      <c r="MQ14" s="12"/>
      <c r="MR14" s="13"/>
      <c r="MS14" s="12"/>
    </row>
    <row r="15" spans="1:405" ht="16.5" x14ac:dyDescent="0.3">
      <c r="B15" s="143">
        <f t="shared" si="72"/>
        <v>10</v>
      </c>
      <c r="C15" s="223"/>
      <c r="D15" s="660" t="s">
        <v>47</v>
      </c>
      <c r="E15" s="791"/>
      <c r="F15" s="792">
        <f>DD9</f>
        <v>1804966.5518499999</v>
      </c>
      <c r="G15" s="793">
        <f t="shared" si="97"/>
        <v>8.6753291158353285E-2</v>
      </c>
      <c r="H15" s="792">
        <f>DG9</f>
        <v>1805841.8473045453</v>
      </c>
      <c r="I15" s="724">
        <f t="shared" si="98"/>
        <v>8.6340688180770606E-2</v>
      </c>
      <c r="J15" s="794">
        <f t="shared" si="54"/>
        <v>875.29545454541221</v>
      </c>
      <c r="K15" s="792">
        <f>IK26</f>
        <v>1927835.2228029165</v>
      </c>
      <c r="L15" s="724">
        <f t="shared" si="99"/>
        <v>8.7865661657323263E-2</v>
      </c>
      <c r="M15" s="794">
        <f t="shared" si="55"/>
        <v>121993.3754983712</v>
      </c>
      <c r="N15" s="792">
        <f>KO27</f>
        <v>1997891.2124798703</v>
      </c>
      <c r="O15" s="724">
        <f t="shared" si="100"/>
        <v>9.0876832324627635E-2</v>
      </c>
      <c r="P15" s="794">
        <f t="shared" si="56"/>
        <v>70055.989676953759</v>
      </c>
      <c r="Q15" s="792">
        <f t="shared" si="57"/>
        <v>192924.66062987037</v>
      </c>
      <c r="R15" s="723">
        <f t="shared" si="58"/>
        <v>4.7531812467466183E-2</v>
      </c>
      <c r="V15" s="252">
        <f t="shared" si="59"/>
        <v>7</v>
      </c>
      <c r="W15" s="806" t="s">
        <v>179</v>
      </c>
      <c r="X15" s="800">
        <f>X14/K$24*100</f>
        <v>9.1887699433321679E-4</v>
      </c>
      <c r="Y15" s="800">
        <f>Y14/K$24*100</f>
        <v>0.28116734115298747</v>
      </c>
      <c r="Z15" s="800">
        <f>Z14/K$24*100</f>
        <v>0.74711797497293575</v>
      </c>
      <c r="AA15" s="800">
        <f>AA14/K$24*100</f>
        <v>1.0292041931202562</v>
      </c>
      <c r="AB15" s="227"/>
      <c r="AC15" s="233"/>
      <c r="AF15" s="165">
        <f t="shared" si="73"/>
        <v>9</v>
      </c>
      <c r="AG15" s="812" t="s">
        <v>77</v>
      </c>
      <c r="AH15" s="813">
        <f>AH11*II27</f>
        <v>1855890.8043902982</v>
      </c>
      <c r="AI15" s="813">
        <f>AI11*IK27</f>
        <v>92205.377508588761</v>
      </c>
      <c r="AJ15" s="813">
        <f>AJ11*IM27</f>
        <v>590454.85823481809</v>
      </c>
      <c r="AL15" s="299"/>
      <c r="AN15" s="222">
        <v>10</v>
      </c>
      <c r="AO15" s="18"/>
      <c r="AQ15" s="660" t="s">
        <v>48</v>
      </c>
      <c r="AR15" s="791"/>
      <c r="AS15" s="821">
        <v>7353821.8799999999</v>
      </c>
      <c r="AT15" s="822">
        <v>0.71710994198556099</v>
      </c>
      <c r="AU15" s="783"/>
      <c r="AV15" s="821">
        <v>7828448.5450000018</v>
      </c>
      <c r="AW15" s="822">
        <v>0.72540816833517452</v>
      </c>
      <c r="AX15" s="823">
        <f t="shared" si="87"/>
        <v>1.1571763078109143E-2</v>
      </c>
      <c r="AY15" s="783"/>
      <c r="AZ15" s="821">
        <v>8035314.9274999993</v>
      </c>
      <c r="BA15" s="822">
        <v>0.62282657759036675</v>
      </c>
      <c r="BB15" s="823">
        <f t="shared" si="88"/>
        <v>-0.14141223551457172</v>
      </c>
      <c r="BC15" s="783"/>
      <c r="BD15" s="821">
        <v>8562729.5753158554</v>
      </c>
      <c r="BE15" s="822">
        <v>0.58225665955417472</v>
      </c>
      <c r="BF15" s="823">
        <f t="shared" si="89"/>
        <v>-6.5138386022561279E-2</v>
      </c>
      <c r="BG15" s="783"/>
      <c r="BH15" s="821">
        <v>11045828.998199999</v>
      </c>
      <c r="BI15" s="822">
        <v>0.72687075473189988</v>
      </c>
      <c r="BJ15" s="823">
        <f t="shared" si="90"/>
        <v>0.24836829739045663</v>
      </c>
      <c r="BK15" s="783"/>
      <c r="BL15" s="821">
        <v>11568330.944249999</v>
      </c>
      <c r="BM15" s="822">
        <v>0.68771883938552769</v>
      </c>
      <c r="BN15" s="823">
        <f t="shared" si="91"/>
        <v>-5.3863654702703045E-2</v>
      </c>
      <c r="BO15" s="783"/>
      <c r="BP15" s="821">
        <v>12592679.530000001</v>
      </c>
      <c r="BQ15" s="822">
        <v>0.67892720661852923</v>
      </c>
      <c r="BR15" s="823">
        <f t="shared" si="92"/>
        <v>-1.2783760257104038E-2</v>
      </c>
      <c r="BS15" s="783"/>
      <c r="BT15" s="660">
        <v>14006160</v>
      </c>
      <c r="BU15" s="660">
        <v>0.71</v>
      </c>
      <c r="BV15" s="660">
        <f t="shared" si="93"/>
        <v>4.5767488883281304E-2</v>
      </c>
      <c r="BW15" s="237">
        <v>14529003.2212</v>
      </c>
      <c r="BX15" s="238">
        <v>0.75057613815354784</v>
      </c>
      <c r="BY15" s="824">
        <f t="shared" si="60"/>
        <v>5.71494903571097E-2</v>
      </c>
      <c r="BZ15" s="824">
        <v>16169362.853399999</v>
      </c>
      <c r="CA15" s="824">
        <v>0.79265580047847906</v>
      </c>
      <c r="CB15" s="824">
        <f t="shared" si="61"/>
        <v>5.6063149607245899E-2</v>
      </c>
      <c r="CC15" s="956">
        <v>15891148.762050001</v>
      </c>
      <c r="CD15" s="956">
        <v>0.76458980113025976</v>
      </c>
      <c r="CE15" s="723">
        <f t="shared" si="101"/>
        <v>-3.5407549318730136E-2</v>
      </c>
      <c r="CF15" s="792">
        <f t="shared" si="94"/>
        <v>16523554.25475</v>
      </c>
      <c r="CG15" s="824">
        <f t="shared" si="94"/>
        <v>0.7941824250227445</v>
      </c>
      <c r="CH15" s="723">
        <f t="shared" si="95"/>
        <v>3.8703921826761523E-2</v>
      </c>
      <c r="CI15" s="825">
        <f t="shared" si="63"/>
        <v>1.246934250568223</v>
      </c>
      <c r="CJ15" s="723">
        <f t="shared" si="96"/>
        <v>4.6002681844093063E-2</v>
      </c>
      <c r="DD15" s="12"/>
      <c r="DN15" s="12"/>
      <c r="DU15" s="12"/>
      <c r="DV15" s="12"/>
      <c r="DW15" s="12"/>
      <c r="DX15" s="12"/>
      <c r="DY15" s="12"/>
      <c r="EF15" s="29"/>
      <c r="EQ15" s="19"/>
      <c r="ER15" s="266"/>
      <c r="FG15" s="19"/>
      <c r="FH15" s="266"/>
      <c r="FJ15" s="222">
        <f t="shared" si="78"/>
        <v>10</v>
      </c>
      <c r="FK15" s="242"/>
      <c r="FL15" s="877" t="s">
        <v>214</v>
      </c>
      <c r="FM15" s="650">
        <v>38301.99</v>
      </c>
      <c r="FN15" s="650">
        <v>65518.33</v>
      </c>
      <c r="FO15" s="650">
        <v>227733.46400000001</v>
      </c>
      <c r="FP15" s="794">
        <f t="shared" si="21"/>
        <v>331553.78400000004</v>
      </c>
      <c r="FQ15" s="650">
        <v>38301.99</v>
      </c>
      <c r="FR15" s="650">
        <v>65518.33</v>
      </c>
      <c r="FS15" s="650">
        <v>229810.96400000001</v>
      </c>
      <c r="FT15" s="650">
        <v>333631.28399999999</v>
      </c>
      <c r="FU15" s="955">
        <v>333631.28399999999</v>
      </c>
      <c r="FV15" s="16"/>
      <c r="FW15" s="266"/>
      <c r="GN15" s="355"/>
      <c r="GO15" s="355"/>
      <c r="GP15" s="355"/>
      <c r="GZ15" s="222">
        <v>10</v>
      </c>
      <c r="HA15" s="663">
        <v>10</v>
      </c>
      <c r="HB15" s="663">
        <v>10</v>
      </c>
      <c r="HC15" s="663">
        <v>10</v>
      </c>
      <c r="HD15" s="682">
        <v>66218585</v>
      </c>
      <c r="HE15" s="682">
        <v>68377091</v>
      </c>
      <c r="HF15" s="724">
        <f t="shared" si="22"/>
        <v>1</v>
      </c>
      <c r="HG15" s="724">
        <f t="shared" si="23"/>
        <v>1.0325966796179653</v>
      </c>
      <c r="HH15" s="723">
        <v>0.5</v>
      </c>
      <c r="HI15" s="723">
        <v>0.5</v>
      </c>
      <c r="HJ15" s="723">
        <v>0</v>
      </c>
      <c r="HN15" s="243">
        <v>10</v>
      </c>
      <c r="HO15" s="891">
        <v>10</v>
      </c>
      <c r="HP15" s="793">
        <f t="shared" si="2"/>
        <v>1.0325966796179653</v>
      </c>
      <c r="HQ15" s="650">
        <v>0</v>
      </c>
      <c r="HR15" s="794">
        <f t="shared" si="24"/>
        <v>0</v>
      </c>
      <c r="HS15" s="650">
        <v>7192089</v>
      </c>
      <c r="HT15" s="975">
        <v>7421436</v>
      </c>
      <c r="HU15" s="650">
        <v>3251905.9609000003</v>
      </c>
      <c r="HV15" s="975">
        <v>3686139</v>
      </c>
      <c r="HW15" s="650">
        <v>225000</v>
      </c>
      <c r="HX15" s="955">
        <v>225000</v>
      </c>
      <c r="HY15" s="650">
        <f t="shared" si="25"/>
        <v>3476905.9609000003</v>
      </c>
      <c r="HZ15" s="650">
        <f t="shared" si="25"/>
        <v>3911139</v>
      </c>
      <c r="IA15" s="206"/>
      <c r="IB15" s="207"/>
      <c r="IC15" s="206"/>
      <c r="ID15" s="244">
        <v>10</v>
      </c>
      <c r="IE15" s="891">
        <v>10</v>
      </c>
      <c r="IF15" s="899">
        <f t="shared" si="3"/>
        <v>1</v>
      </c>
      <c r="IG15" s="900">
        <f t="shared" si="3"/>
        <v>1.0325966796179653</v>
      </c>
      <c r="IH15" s="955">
        <v>868571.60226464225</v>
      </c>
      <c r="II15" s="794">
        <f t="shared" si="64"/>
        <v>896884.15250892553</v>
      </c>
      <c r="IJ15" s="955">
        <v>55419.501999999993</v>
      </c>
      <c r="IK15" s="794">
        <f t="shared" si="26"/>
        <v>57225.993751281181</v>
      </c>
      <c r="IL15" s="955">
        <v>516575.9077353577</v>
      </c>
      <c r="IM15" s="794">
        <f t="shared" si="82"/>
        <v>516575.9077353577</v>
      </c>
      <c r="IN15" s="955">
        <v>765934.96395878121</v>
      </c>
      <c r="IO15" s="995">
        <v>780068.43343405006</v>
      </c>
      <c r="IP15" s="955">
        <v>75147.020000000019</v>
      </c>
      <c r="IQ15" s="794">
        <f t="shared" si="27"/>
        <v>77596.563335184852</v>
      </c>
      <c r="IR15" s="955">
        <v>56302.500000000007</v>
      </c>
      <c r="IS15" s="794">
        <f t="shared" si="28"/>
        <v>58137.774554190502</v>
      </c>
      <c r="IT15" s="955">
        <v>132365.25</v>
      </c>
      <c r="IU15" s="794">
        <f t="shared" si="29"/>
        <v>136679.91764680188</v>
      </c>
      <c r="IV15" s="955">
        <v>335051.89025</v>
      </c>
      <c r="IW15" s="794">
        <f t="shared" si="30"/>
        <v>345973.4693718729</v>
      </c>
      <c r="IX15" s="650">
        <f t="shared" si="31"/>
        <v>2805368.6362087815</v>
      </c>
      <c r="IY15" s="650">
        <f t="shared" si="31"/>
        <v>2869142.2123376648</v>
      </c>
      <c r="IZ15" s="683">
        <f t="shared" si="4"/>
        <v>4.1960577298289348</v>
      </c>
      <c r="JD15" s="222">
        <v>10</v>
      </c>
      <c r="JE15" s="663">
        <v>10</v>
      </c>
      <c r="JF15" s="660">
        <f t="shared" si="5"/>
        <v>10</v>
      </c>
      <c r="JG15" s="660">
        <f t="shared" si="32"/>
        <v>10</v>
      </c>
      <c r="JH15" s="905">
        <f t="shared" si="6"/>
        <v>68377091</v>
      </c>
      <c r="JI15" s="905">
        <f t="shared" si="83"/>
        <v>68513877.925441921</v>
      </c>
      <c r="JJ15" s="906">
        <f t="shared" si="33"/>
        <v>1</v>
      </c>
      <c r="JK15" s="906">
        <f t="shared" si="34"/>
        <v>1.0020004788656762</v>
      </c>
      <c r="JL15" s="906">
        <f t="shared" si="35"/>
        <v>1.0313621146878886</v>
      </c>
      <c r="JM15" s="663" t="s">
        <v>238</v>
      </c>
      <c r="JN15" s="209"/>
      <c r="JO15" s="210"/>
      <c r="JP15" s="209"/>
      <c r="JQ15" s="222">
        <v>10</v>
      </c>
      <c r="JR15" s="663">
        <v>10</v>
      </c>
      <c r="JS15" s="914" t="str">
        <f t="shared" si="7"/>
        <v>Q3</v>
      </c>
      <c r="JT15" s="913">
        <f t="shared" si="8"/>
        <v>1.0313621146878886</v>
      </c>
      <c r="JU15" s="671">
        <f t="shared" si="36"/>
        <v>0</v>
      </c>
      <c r="JV15" s="671">
        <f t="shared" si="37"/>
        <v>0</v>
      </c>
      <c r="JW15" s="671">
        <f t="shared" si="9"/>
        <v>7421436</v>
      </c>
      <c r="JX15" s="671">
        <f t="shared" si="38"/>
        <v>7555728.5864212401</v>
      </c>
      <c r="JY15" s="671">
        <f t="shared" si="10"/>
        <v>3686139</v>
      </c>
      <c r="JZ15" s="671">
        <f t="shared" si="11"/>
        <v>3396924.9654126009</v>
      </c>
      <c r="KA15" s="671">
        <f t="shared" si="39"/>
        <v>225000</v>
      </c>
      <c r="KB15" s="671">
        <f t="shared" si="40"/>
        <v>148018.77972971628</v>
      </c>
      <c r="KC15" s="671">
        <f t="shared" si="41"/>
        <v>3911139</v>
      </c>
      <c r="KD15" s="671">
        <f t="shared" si="41"/>
        <v>3544943.7451423174</v>
      </c>
      <c r="KE15" s="211"/>
      <c r="KF15" s="210"/>
      <c r="KG15" s="209"/>
      <c r="KH15" s="245">
        <f t="shared" si="65"/>
        <v>10</v>
      </c>
      <c r="KI15" s="917">
        <v>9</v>
      </c>
      <c r="KJ15" s="918">
        <f t="shared" si="66"/>
        <v>1</v>
      </c>
      <c r="KK15" s="918">
        <f t="shared" si="66"/>
        <v>1.0020004788656762</v>
      </c>
      <c r="KL15" s="898">
        <v>1.6626666699999999</v>
      </c>
      <c r="KM15" s="801">
        <f t="shared" si="67"/>
        <v>834127.12680127809</v>
      </c>
      <c r="KN15" s="898">
        <v>1.6626666699999999</v>
      </c>
      <c r="KO15" s="801">
        <f t="shared" si="42"/>
        <v>108623.0618771493</v>
      </c>
      <c r="KP15" s="898">
        <v>1.6626666699999999</v>
      </c>
      <c r="KQ15" s="801">
        <f t="shared" si="43"/>
        <v>581022.92863022629</v>
      </c>
      <c r="KR15" s="898">
        <v>1.6626666699999999</v>
      </c>
      <c r="KS15" s="801">
        <f t="shared" si="68"/>
        <v>685511.6727422016</v>
      </c>
      <c r="KT15" s="898">
        <v>1.6626666699999999</v>
      </c>
      <c r="KU15" s="801">
        <f t="shared" si="44"/>
        <v>70247.002420300167</v>
      </c>
      <c r="KV15" s="898">
        <v>1.6626666699999999</v>
      </c>
      <c r="KW15" s="801">
        <f t="shared" si="45"/>
        <v>74654.331223141606</v>
      </c>
      <c r="KX15" s="898">
        <v>1.6626666699999999</v>
      </c>
      <c r="KY15" s="801">
        <f t="shared" si="46"/>
        <v>73998.171612825026</v>
      </c>
      <c r="KZ15" s="898">
        <v>1.6626666699999999</v>
      </c>
      <c r="LA15" s="919">
        <f t="shared" si="47"/>
        <v>874689.78970842238</v>
      </c>
      <c r="LB15" s="646">
        <f t="shared" si="48"/>
        <v>3202003.7918779361</v>
      </c>
      <c r="LC15" s="646">
        <f t="shared" si="79"/>
        <v>3302874.0850155447</v>
      </c>
      <c r="LD15" s="16"/>
      <c r="LE15" s="220"/>
      <c r="LG15" s="222">
        <v>10</v>
      </c>
      <c r="LH15" s="922">
        <v>10</v>
      </c>
      <c r="LI15" s="650">
        <f t="shared" si="12"/>
        <v>3476905.9609000003</v>
      </c>
      <c r="LJ15" s="650">
        <f t="shared" si="12"/>
        <v>3911139</v>
      </c>
      <c r="LK15" s="794">
        <f t="shared" si="13"/>
        <v>3544943.7451423174</v>
      </c>
      <c r="LL15" s="650">
        <f t="shared" si="14"/>
        <v>2805368.6362087815</v>
      </c>
      <c r="LM15" s="650">
        <f t="shared" si="14"/>
        <v>2869142.2123376648</v>
      </c>
      <c r="LN15" s="794">
        <f t="shared" si="49"/>
        <v>2959124.5794568611</v>
      </c>
      <c r="LO15" s="650">
        <f t="shared" si="50"/>
        <v>671537.32469121879</v>
      </c>
      <c r="LP15" s="650">
        <f t="shared" si="50"/>
        <v>1041996.7876623352</v>
      </c>
      <c r="LQ15" s="650">
        <f t="shared" si="50"/>
        <v>585819.16568545625</v>
      </c>
      <c r="MA15" s="192">
        <f t="shared" si="80"/>
        <v>9</v>
      </c>
      <c r="MB15" s="814" t="s">
        <v>57</v>
      </c>
      <c r="MC15" s="860">
        <f t="shared" si="102"/>
        <v>1997891.2124798703</v>
      </c>
      <c r="MD15" s="928">
        <f t="shared" si="103"/>
        <v>9.0876832324627635E-2</v>
      </c>
      <c r="ME15" s="796"/>
      <c r="MF15" s="798">
        <f t="shared" si="104"/>
        <v>1997891.2124798703</v>
      </c>
      <c r="MG15" s="928">
        <f t="shared" si="105"/>
        <v>9.0876832324627635E-2</v>
      </c>
      <c r="MK15" s="192">
        <f t="shared" si="81"/>
        <v>9</v>
      </c>
      <c r="ML15" s="253" t="str">
        <f t="shared" si="53"/>
        <v>Contract Labour</v>
      </c>
      <c r="MM15" s="979">
        <v>2011456.9761871099</v>
      </c>
      <c r="MN15" s="860">
        <f t="shared" si="106"/>
        <v>1997891.2124798703</v>
      </c>
      <c r="MO15" s="860">
        <f t="shared" si="70"/>
        <v>-13565.763707239646</v>
      </c>
      <c r="MP15" s="802">
        <f t="shared" si="71"/>
        <v>-6.7442475120470741E-3</v>
      </c>
    </row>
    <row r="16" spans="1:405" s="29" customFormat="1" ht="16.5" x14ac:dyDescent="0.3">
      <c r="B16" s="181">
        <f t="shared" si="72"/>
        <v>11</v>
      </c>
      <c r="C16" s="251"/>
      <c r="D16" s="796" t="s">
        <v>48</v>
      </c>
      <c r="E16" s="797"/>
      <c r="F16" s="798">
        <f>DN9</f>
        <v>16523554.25475</v>
      </c>
      <c r="G16" s="799">
        <f t="shared" si="97"/>
        <v>0.7941824250227445</v>
      </c>
      <c r="H16" s="798">
        <f>DP9</f>
        <v>17962433.615376391</v>
      </c>
      <c r="I16" s="800">
        <f t="shared" si="98"/>
        <v>0.85881766560449857</v>
      </c>
      <c r="J16" s="801">
        <f t="shared" si="54"/>
        <v>1438879.3606263902</v>
      </c>
      <c r="K16" s="798">
        <f>IM26</f>
        <v>18604918.663317382</v>
      </c>
      <c r="L16" s="800">
        <f t="shared" si="99"/>
        <v>0.84796328498256912</v>
      </c>
      <c r="M16" s="801">
        <f t="shared" si="55"/>
        <v>642485.04794099182</v>
      </c>
      <c r="N16" s="798">
        <f>KQ27</f>
        <v>19173425.776259005</v>
      </c>
      <c r="O16" s="800">
        <f t="shared" si="100"/>
        <v>0.8721296677585435</v>
      </c>
      <c r="P16" s="801">
        <f t="shared" si="56"/>
        <v>568507.11294162273</v>
      </c>
      <c r="Q16" s="798">
        <f t="shared" si="57"/>
        <v>2649871.5215090048</v>
      </c>
      <c r="R16" s="802">
        <f t="shared" si="58"/>
        <v>9.8147781013369517E-2</v>
      </c>
      <c r="S16" s="12"/>
      <c r="T16" s="13"/>
      <c r="U16" s="12"/>
      <c r="V16" s="165">
        <f t="shared" si="59"/>
        <v>8</v>
      </c>
      <c r="W16" s="808" t="s">
        <v>132</v>
      </c>
      <c r="X16" s="650">
        <f>X14-X10</f>
        <v>2576756.5991441193</v>
      </c>
      <c r="Y16" s="650">
        <f t="shared" ref="Y16:AA16" si="107">Y14-Y10</f>
        <v>4998445.2571030203</v>
      </c>
      <c r="Z16" s="650">
        <f t="shared" si="107"/>
        <v>9937088.2862379495</v>
      </c>
      <c r="AA16" s="650">
        <f t="shared" si="107"/>
        <v>17512290.14248509</v>
      </c>
      <c r="AB16" s="230"/>
      <c r="AC16" s="234"/>
      <c r="AD16" s="13"/>
      <c r="AE16" s="12"/>
      <c r="AF16" s="252">
        <f t="shared" si="73"/>
        <v>10</v>
      </c>
      <c r="AG16" s="814" t="s">
        <v>180</v>
      </c>
      <c r="AH16" s="815">
        <f>AH15*3600/$K$24</f>
        <v>3.0451184708403782</v>
      </c>
      <c r="AI16" s="815">
        <f>AI15*3600/$K$24</f>
        <v>0.15128923398834065</v>
      </c>
      <c r="AJ16" s="815">
        <f>AJ15*3600/$K$24</f>
        <v>0.96880969007169926</v>
      </c>
      <c r="AK16" s="12"/>
      <c r="AL16" s="299"/>
      <c r="AM16" s="12"/>
      <c r="AN16" s="192">
        <f>AN15+1</f>
        <v>11</v>
      </c>
      <c r="AO16" s="254"/>
      <c r="AP16" s="254"/>
      <c r="AQ16" s="804" t="s">
        <v>49</v>
      </c>
      <c r="AR16" s="797"/>
      <c r="AS16" s="827">
        <v>3443976.8344000001</v>
      </c>
      <c r="AT16" s="828">
        <v>0.33584033829171284</v>
      </c>
      <c r="AU16" s="829"/>
      <c r="AV16" s="827">
        <v>5716425.9886499979</v>
      </c>
      <c r="AW16" s="828">
        <v>0.52970164931322072</v>
      </c>
      <c r="AX16" s="830">
        <f t="shared" si="87"/>
        <v>0.57724248375762066</v>
      </c>
      <c r="AY16" s="829"/>
      <c r="AZ16" s="827">
        <v>7023487.4984412417</v>
      </c>
      <c r="BA16" s="828">
        <v>0.54439866027303074</v>
      </c>
      <c r="BB16" s="830">
        <f t="shared" si="88"/>
        <v>2.7745828201338085E-2</v>
      </c>
      <c r="BC16" s="829"/>
      <c r="BD16" s="827">
        <v>8390599.8471698686</v>
      </c>
      <c r="BE16" s="828">
        <v>0.57055201798647071</v>
      </c>
      <c r="BF16" s="830">
        <f t="shared" si="89"/>
        <v>4.8040819388356581E-2</v>
      </c>
      <c r="BG16" s="829"/>
      <c r="BH16" s="827">
        <v>9500186.8885000013</v>
      </c>
      <c r="BI16" s="828">
        <v>0.62515977885076657</v>
      </c>
      <c r="BJ16" s="830">
        <f t="shared" si="90"/>
        <v>9.5710398250822948E-2</v>
      </c>
      <c r="BK16" s="829"/>
      <c r="BL16" s="827">
        <v>10661854.069499999</v>
      </c>
      <c r="BM16" s="828">
        <v>0.63383023373989222</v>
      </c>
      <c r="BN16" s="830">
        <f t="shared" si="91"/>
        <v>1.386918221940725E-2</v>
      </c>
      <c r="BO16" s="829"/>
      <c r="BP16" s="827">
        <v>13069899.7289</v>
      </c>
      <c r="BQ16" s="828">
        <v>0.70465626418798799</v>
      </c>
      <c r="BR16" s="830">
        <f t="shared" si="92"/>
        <v>0.11174290319063718</v>
      </c>
      <c r="BS16" s="829"/>
      <c r="BT16" s="796">
        <v>15592449</v>
      </c>
      <c r="BU16" s="796">
        <v>0.79</v>
      </c>
      <c r="BV16" s="796">
        <f t="shared" si="93"/>
        <v>0.12111399578680837</v>
      </c>
      <c r="BW16" s="258">
        <v>21298745.488500003</v>
      </c>
      <c r="BX16" s="259">
        <v>1.100304672859262</v>
      </c>
      <c r="BY16" s="831">
        <f t="shared" si="60"/>
        <v>0.39279072513830626</v>
      </c>
      <c r="BZ16" s="831">
        <v>23700279.210100003</v>
      </c>
      <c r="CA16" s="831">
        <v>1.1618369851162706</v>
      </c>
      <c r="CB16" s="831">
        <f t="shared" si="61"/>
        <v>5.5922976403535829E-2</v>
      </c>
      <c r="CC16" s="956">
        <v>24697713.659500003</v>
      </c>
      <c r="CD16" s="956">
        <v>1.1883105657147701</v>
      </c>
      <c r="CE16" s="802">
        <f t="shared" si="101"/>
        <v>2.2785968201769924E-2</v>
      </c>
      <c r="CF16" s="798">
        <f t="shared" si="94"/>
        <v>25788943.3565</v>
      </c>
      <c r="CG16" s="831">
        <f t="shared" si="94"/>
        <v>1.2395108980715628</v>
      </c>
      <c r="CH16" s="802">
        <f t="shared" si="95"/>
        <v>4.30866591899699E-2</v>
      </c>
      <c r="CI16" s="832">
        <f t="shared" si="63"/>
        <v>6.4881291589735319</v>
      </c>
      <c r="CJ16" s="802">
        <f t="shared" si="96"/>
        <v>0.11834627601791059</v>
      </c>
      <c r="CK16" s="12"/>
      <c r="CL16" s="13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3"/>
      <c r="CZ16" s="12"/>
      <c r="DA16" s="12"/>
      <c r="DB16" s="12"/>
      <c r="DC16" s="12"/>
      <c r="DD16" s="12"/>
      <c r="DE16" s="12"/>
      <c r="DF16" s="12"/>
      <c r="DG16" s="12"/>
      <c r="DH16" s="12"/>
      <c r="DI16" s="13"/>
      <c r="DJ16" s="12"/>
      <c r="DK16" s="12"/>
      <c r="DL16" s="12"/>
      <c r="DM16" s="12"/>
      <c r="DN16" s="12"/>
      <c r="DO16" s="12"/>
      <c r="DP16" s="12"/>
      <c r="DQ16" s="12"/>
      <c r="DR16" s="1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3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311"/>
      <c r="ER16" s="266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311"/>
      <c r="FH16" s="266"/>
      <c r="FI16" s="12"/>
      <c r="FJ16" s="192">
        <f t="shared" si="78"/>
        <v>11</v>
      </c>
      <c r="FK16" s="265"/>
      <c r="FL16" s="878" t="s">
        <v>215</v>
      </c>
      <c r="FM16" s="860">
        <v>82960.8465</v>
      </c>
      <c r="FN16" s="860">
        <v>247179.69999999995</v>
      </c>
      <c r="FO16" s="860">
        <v>496871.88333999994</v>
      </c>
      <c r="FP16" s="801">
        <f t="shared" si="21"/>
        <v>827012.42983999988</v>
      </c>
      <c r="FQ16" s="860">
        <v>82980.54377272728</v>
      </c>
      <c r="FR16" s="860">
        <v>247179.69999999995</v>
      </c>
      <c r="FS16" s="860">
        <v>496871.88333999994</v>
      </c>
      <c r="FT16" s="860">
        <v>827032.12711272715</v>
      </c>
      <c r="FU16" s="955">
        <v>827032.12711272715</v>
      </c>
      <c r="FV16" s="16"/>
      <c r="FW16" s="266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3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3"/>
      <c r="GX16" s="12"/>
      <c r="GY16" s="12"/>
      <c r="GZ16" s="192">
        <v>11</v>
      </c>
      <c r="HA16" s="886">
        <v>11</v>
      </c>
      <c r="HB16" s="886">
        <v>10</v>
      </c>
      <c r="HC16" s="886">
        <v>10</v>
      </c>
      <c r="HD16" s="887">
        <v>81129366</v>
      </c>
      <c r="HE16" s="887">
        <v>83360260</v>
      </c>
      <c r="HF16" s="800">
        <f t="shared" si="22"/>
        <v>1</v>
      </c>
      <c r="HG16" s="800">
        <f t="shared" si="23"/>
        <v>1.0274979838989498</v>
      </c>
      <c r="HH16" s="802">
        <v>0</v>
      </c>
      <c r="HI16" s="802">
        <v>1</v>
      </c>
      <c r="HJ16" s="802">
        <v>0</v>
      </c>
      <c r="HK16" s="12"/>
      <c r="HL16" s="13"/>
      <c r="HM16" s="12"/>
      <c r="HN16" s="267">
        <v>11</v>
      </c>
      <c r="HO16" s="892">
        <v>11</v>
      </c>
      <c r="HP16" s="799">
        <f t="shared" si="2"/>
        <v>1.0274979838989498</v>
      </c>
      <c r="HQ16" s="860">
        <v>2581.4899999999998</v>
      </c>
      <c r="HR16" s="801">
        <f t="shared" si="24"/>
        <v>2652.4757704552994</v>
      </c>
      <c r="HS16" s="860">
        <v>8836266</v>
      </c>
      <c r="HT16" s="975">
        <v>9087731</v>
      </c>
      <c r="HU16" s="860">
        <v>3929506.6488000001</v>
      </c>
      <c r="HV16" s="975">
        <v>4562596</v>
      </c>
      <c r="HW16" s="860">
        <v>225000</v>
      </c>
      <c r="HX16" s="955">
        <v>225000</v>
      </c>
      <c r="HY16" s="860">
        <f t="shared" si="25"/>
        <v>4157088.1388000003</v>
      </c>
      <c r="HZ16" s="860">
        <f t="shared" si="25"/>
        <v>4790248.4757704549</v>
      </c>
      <c r="IA16" s="206"/>
      <c r="IB16" s="207"/>
      <c r="IC16" s="206"/>
      <c r="ID16" s="208">
        <v>11</v>
      </c>
      <c r="IE16" s="892">
        <v>11</v>
      </c>
      <c r="IF16" s="896">
        <f t="shared" si="3"/>
        <v>1</v>
      </c>
      <c r="IG16" s="897">
        <f t="shared" si="3"/>
        <v>1.0274979838989498</v>
      </c>
      <c r="IH16" s="955">
        <v>1423641.7045909851</v>
      </c>
      <c r="II16" s="801">
        <f t="shared" si="64"/>
        <v>1462788.9812617013</v>
      </c>
      <c r="IJ16" s="955">
        <v>82670.929999999993</v>
      </c>
      <c r="IK16" s="801">
        <f t="shared" si="26"/>
        <v>84944.213902051197</v>
      </c>
      <c r="IL16" s="955">
        <v>693581.72540901485</v>
      </c>
      <c r="IM16" s="801">
        <f t="shared" si="82"/>
        <v>693581.72540901485</v>
      </c>
      <c r="IN16" s="955">
        <v>1097311.9781036684</v>
      </c>
      <c r="IO16" s="995">
        <v>1097311.9781036684</v>
      </c>
      <c r="IP16" s="955">
        <v>115389.88249999999</v>
      </c>
      <c r="IQ16" s="801">
        <f t="shared" si="27"/>
        <v>118562.8716310867</v>
      </c>
      <c r="IR16" s="955">
        <v>62157.794999999998</v>
      </c>
      <c r="IS16" s="801">
        <f t="shared" si="28"/>
        <v>63867.00904610422</v>
      </c>
      <c r="IT16" s="955">
        <v>135787.78999999998</v>
      </c>
      <c r="IU16" s="801">
        <f t="shared" si="29"/>
        <v>139521.68046309394</v>
      </c>
      <c r="IV16" s="955">
        <v>373475.82789999997</v>
      </c>
      <c r="IW16" s="801">
        <f t="shared" si="30"/>
        <v>383745.6602022411</v>
      </c>
      <c r="IX16" s="860">
        <f t="shared" si="31"/>
        <v>3984017.633503668</v>
      </c>
      <c r="IY16" s="860">
        <f t="shared" si="31"/>
        <v>4044324.1200189614</v>
      </c>
      <c r="IZ16" s="898">
        <f t="shared" si="4"/>
        <v>4.8516212881521259</v>
      </c>
      <c r="JA16" s="12"/>
      <c r="JB16" s="13"/>
      <c r="JC16" s="12"/>
      <c r="JD16" s="192">
        <v>11</v>
      </c>
      <c r="JE16" s="886">
        <v>11</v>
      </c>
      <c r="JF16" s="796">
        <f t="shared" si="5"/>
        <v>10</v>
      </c>
      <c r="JG16" s="796">
        <f t="shared" si="32"/>
        <v>10</v>
      </c>
      <c r="JH16" s="859">
        <f t="shared" si="6"/>
        <v>83360260</v>
      </c>
      <c r="JI16" s="859">
        <f t="shared" si="83"/>
        <v>83527020.438367277</v>
      </c>
      <c r="JJ16" s="904">
        <f t="shared" si="33"/>
        <v>1</v>
      </c>
      <c r="JK16" s="904">
        <f t="shared" si="34"/>
        <v>1.0020004788656762</v>
      </c>
      <c r="JL16" s="904">
        <f t="shared" si="35"/>
        <v>1.0452108673677432</v>
      </c>
      <c r="JM16" s="886" t="s">
        <v>425</v>
      </c>
      <c r="JN16" s="209"/>
      <c r="JO16" s="210"/>
      <c r="JP16" s="209"/>
      <c r="JQ16" s="192">
        <v>11</v>
      </c>
      <c r="JR16" s="886">
        <v>11</v>
      </c>
      <c r="JS16" s="910" t="str">
        <f t="shared" si="7"/>
        <v>Q2</v>
      </c>
      <c r="JT16" s="911">
        <f t="shared" si="8"/>
        <v>1.0452108673677432</v>
      </c>
      <c r="JU16" s="860">
        <f t="shared" si="36"/>
        <v>2652.4757704552994</v>
      </c>
      <c r="JV16" s="860">
        <f t="shared" si="37"/>
        <v>2772.3965007095062</v>
      </c>
      <c r="JW16" s="860">
        <f t="shared" si="9"/>
        <v>9087731</v>
      </c>
      <c r="JX16" s="860">
        <f t="shared" si="38"/>
        <v>9211381.9152310397</v>
      </c>
      <c r="JY16" s="860">
        <f t="shared" si="10"/>
        <v>4562596</v>
      </c>
      <c r="JZ16" s="860">
        <f t="shared" si="11"/>
        <v>4141278.0827029543</v>
      </c>
      <c r="KA16" s="860">
        <f t="shared" si="39"/>
        <v>225000</v>
      </c>
      <c r="KB16" s="860">
        <f t="shared" si="40"/>
        <v>180453.47912141916</v>
      </c>
      <c r="KC16" s="860">
        <f t="shared" si="41"/>
        <v>4790248.4757704549</v>
      </c>
      <c r="KD16" s="860">
        <f t="shared" si="41"/>
        <v>4324503.9583250834</v>
      </c>
      <c r="KE16" s="211"/>
      <c r="KF16" s="210"/>
      <c r="KG16" s="209"/>
      <c r="KH16" s="243">
        <f t="shared" si="65"/>
        <v>11</v>
      </c>
      <c r="KI16" s="891">
        <v>10</v>
      </c>
      <c r="KJ16" s="920">
        <f t="shared" si="66"/>
        <v>1</v>
      </c>
      <c r="KK16" s="920">
        <f t="shared" si="66"/>
        <v>1.0020004788656762</v>
      </c>
      <c r="KL16" s="683">
        <v>1.6626666699999999</v>
      </c>
      <c r="KM16" s="794">
        <f t="shared" si="67"/>
        <v>925847.69752240658</v>
      </c>
      <c r="KN16" s="683">
        <v>1.6626666699999999</v>
      </c>
      <c r="KO16" s="794">
        <f t="shared" si="42"/>
        <v>59074.022441853813</v>
      </c>
      <c r="KP16" s="683">
        <v>1.6626666699999999</v>
      </c>
      <c r="KQ16" s="794">
        <f t="shared" si="43"/>
        <v>532193.31990377733</v>
      </c>
      <c r="KR16" s="683">
        <v>1.6626666699999999</v>
      </c>
      <c r="KS16" s="794">
        <f t="shared" si="68"/>
        <v>803651.89921727066</v>
      </c>
      <c r="KT16" s="683">
        <v>1.6626666699999999</v>
      </c>
      <c r="KU16" s="794">
        <f t="shared" si="44"/>
        <v>80102.429392426508</v>
      </c>
      <c r="KV16" s="683">
        <v>1.6626666699999999</v>
      </c>
      <c r="KW16" s="794">
        <f t="shared" si="45"/>
        <v>60015.247855032612</v>
      </c>
      <c r="KX16" s="683">
        <v>1.6626666699999999</v>
      </c>
      <c r="KY16" s="794">
        <f t="shared" si="46"/>
        <v>141093.7931023197</v>
      </c>
      <c r="KZ16" s="683">
        <v>1.6626666699999999</v>
      </c>
      <c r="LA16" s="794">
        <f t="shared" si="47"/>
        <v>357146.17002177396</v>
      </c>
      <c r="LB16" s="650">
        <f t="shared" si="48"/>
        <v>2869142.2123376648</v>
      </c>
      <c r="LC16" s="650">
        <f t="shared" si="79"/>
        <v>2959124.5794568611</v>
      </c>
      <c r="LD16" s="16"/>
      <c r="LE16" s="220"/>
      <c r="LF16" s="12"/>
      <c r="LG16" s="192">
        <v>11</v>
      </c>
      <c r="LH16" s="921">
        <v>11</v>
      </c>
      <c r="LI16" s="860">
        <f t="shared" si="12"/>
        <v>4157088.1388000003</v>
      </c>
      <c r="LJ16" s="860">
        <f t="shared" si="12"/>
        <v>4790248.4757704549</v>
      </c>
      <c r="LK16" s="801">
        <f t="shared" si="13"/>
        <v>4324503.9583250834</v>
      </c>
      <c r="LL16" s="860">
        <f t="shared" si="14"/>
        <v>3984017.633503668</v>
      </c>
      <c r="LM16" s="860">
        <f t="shared" si="14"/>
        <v>4044324.1200189614</v>
      </c>
      <c r="LN16" s="801">
        <f t="shared" si="49"/>
        <v>4227171.5214013029</v>
      </c>
      <c r="LO16" s="860">
        <f t="shared" si="50"/>
        <v>173070.5052963323</v>
      </c>
      <c r="LP16" s="860">
        <f t="shared" si="50"/>
        <v>745924.35575149348</v>
      </c>
      <c r="LQ16" s="860">
        <f t="shared" si="50"/>
        <v>97332.436923780479</v>
      </c>
      <c r="LR16" s="12"/>
      <c r="LS16" s="13"/>
      <c r="LT16" s="12"/>
      <c r="LU16" s="12"/>
      <c r="LV16" s="12"/>
      <c r="LW16" s="12"/>
      <c r="LX16" s="12"/>
      <c r="LY16" s="13"/>
      <c r="LZ16" s="12"/>
      <c r="MA16" s="222">
        <f t="shared" si="80"/>
        <v>10</v>
      </c>
      <c r="MB16" s="812" t="s">
        <v>48</v>
      </c>
      <c r="MC16" s="650">
        <f t="shared" si="102"/>
        <v>19173425.776259005</v>
      </c>
      <c r="MD16" s="747">
        <f t="shared" si="103"/>
        <v>0.8721296677585435</v>
      </c>
      <c r="ME16" s="660"/>
      <c r="MF16" s="792">
        <f t="shared" si="104"/>
        <v>19173425.776259005</v>
      </c>
      <c r="MG16" s="747">
        <f t="shared" si="105"/>
        <v>0.8721296677585435</v>
      </c>
      <c r="MH16" s="12"/>
      <c r="MI16" s="13"/>
      <c r="MJ16" s="12"/>
      <c r="MK16" s="222">
        <f t="shared" si="81"/>
        <v>10</v>
      </c>
      <c r="ML16" s="231" t="str">
        <f t="shared" si="53"/>
        <v>Overhead Labour</v>
      </c>
      <c r="MM16" s="979">
        <v>15711197.861928774</v>
      </c>
      <c r="MN16" s="650">
        <f t="shared" si="106"/>
        <v>19173425.776259005</v>
      </c>
      <c r="MO16" s="650">
        <f t="shared" si="70"/>
        <v>3462227.914330231</v>
      </c>
      <c r="MP16" s="823">
        <f t="shared" si="71"/>
        <v>0.22036689657635011</v>
      </c>
      <c r="MQ16" s="12"/>
      <c r="MR16" s="13"/>
      <c r="MS16" s="12"/>
    </row>
    <row r="17" spans="1:357" ht="16.5" x14ac:dyDescent="0.3">
      <c r="B17" s="143">
        <f t="shared" si="72"/>
        <v>12</v>
      </c>
      <c r="C17" s="223"/>
      <c r="D17" s="660" t="s">
        <v>49</v>
      </c>
      <c r="E17" s="791"/>
      <c r="F17" s="792">
        <f>DY12</f>
        <v>25788943.3565</v>
      </c>
      <c r="G17" s="793">
        <f t="shared" si="97"/>
        <v>1.2395108980715628</v>
      </c>
      <c r="H17" s="792">
        <f>EC12</f>
        <v>23103829.087177198</v>
      </c>
      <c r="I17" s="724">
        <f t="shared" si="98"/>
        <v>1.1046374332144782</v>
      </c>
      <c r="J17" s="794">
        <f t="shared" si="54"/>
        <v>-2685114.2693228014</v>
      </c>
      <c r="K17" s="792">
        <f>IO26</f>
        <v>24327750.680698965</v>
      </c>
      <c r="L17" s="724">
        <f t="shared" si="99"/>
        <v>1.1087949244366184</v>
      </c>
      <c r="M17" s="794">
        <f t="shared" si="55"/>
        <v>1223921.5935217664</v>
      </c>
      <c r="N17" s="792">
        <f>KS27</f>
        <v>25073716.728897151</v>
      </c>
      <c r="O17" s="724">
        <f t="shared" si="100"/>
        <v>1.1405125247529739</v>
      </c>
      <c r="P17" s="794">
        <f t="shared" si="56"/>
        <v>745966.04819818586</v>
      </c>
      <c r="Q17" s="792">
        <f t="shared" si="57"/>
        <v>-715226.62760284916</v>
      </c>
      <c r="R17" s="723">
        <f t="shared" si="58"/>
        <v>-7.9868901090430877E-2</v>
      </c>
      <c r="V17" s="185"/>
      <c r="W17" s="186" t="s">
        <v>26</v>
      </c>
      <c r="X17" s="269"/>
      <c r="Y17" s="270"/>
      <c r="Z17" s="270"/>
      <c r="AA17" s="270"/>
      <c r="AB17" s="230" t="s">
        <v>430</v>
      </c>
      <c r="AC17" s="236"/>
      <c r="AF17" s="271">
        <f t="shared" si="73"/>
        <v>11</v>
      </c>
      <c r="AG17" s="816" t="s">
        <v>187</v>
      </c>
      <c r="AH17" s="818">
        <f>II26/AH15</f>
        <v>20.884539615581581</v>
      </c>
      <c r="AI17" s="818">
        <f>IK26/AI15</f>
        <v>20.908056285798974</v>
      </c>
      <c r="AJ17" s="818">
        <f>IM26/AJ15</f>
        <v>31.509468342655907</v>
      </c>
      <c r="AL17" s="299"/>
      <c r="AN17" s="222">
        <f t="shared" ref="AN17:AN20" si="108">AN16+1</f>
        <v>12</v>
      </c>
      <c r="AO17" s="18"/>
      <c r="AQ17" s="660" t="s">
        <v>216</v>
      </c>
      <c r="AR17" s="791"/>
      <c r="AS17" s="821">
        <v>1216501.406</v>
      </c>
      <c r="AT17" s="822">
        <v>0.11862746567938538</v>
      </c>
      <c r="AU17" s="783"/>
      <c r="AV17" s="821">
        <v>2361150.2250000001</v>
      </c>
      <c r="AW17" s="822">
        <v>0.2187914565748014</v>
      </c>
      <c r="AX17" s="823">
        <f t="shared" si="87"/>
        <v>0.84435750457764458</v>
      </c>
      <c r="AY17" s="783"/>
      <c r="AZ17" s="821">
        <v>2483160.2930935998</v>
      </c>
      <c r="BA17" s="822">
        <v>0.19247263373122833</v>
      </c>
      <c r="BB17" s="823">
        <f t="shared" si="88"/>
        <v>-0.12029182151623485</v>
      </c>
      <c r="BC17" s="783"/>
      <c r="BD17" s="821">
        <v>3556357.1057280144</v>
      </c>
      <c r="BE17" s="822">
        <v>0.24182856533648778</v>
      </c>
      <c r="BF17" s="823">
        <f t="shared" si="89"/>
        <v>0.25643090473932428</v>
      </c>
      <c r="BG17" s="783"/>
      <c r="BH17" s="821">
        <v>3747904.7313999999</v>
      </c>
      <c r="BI17" s="822">
        <v>0.24663086321723002</v>
      </c>
      <c r="BJ17" s="823">
        <f t="shared" si="90"/>
        <v>1.9858273872898957E-2</v>
      </c>
      <c r="BK17" s="783"/>
      <c r="BL17" s="821">
        <v>4022436.6702577379</v>
      </c>
      <c r="BM17" s="822">
        <v>0.23912744990636886</v>
      </c>
      <c r="BN17" s="823">
        <f t="shared" si="91"/>
        <v>-3.0423659119468094E-2</v>
      </c>
      <c r="BO17" s="783"/>
      <c r="BP17" s="813">
        <v>5745533.5202000001</v>
      </c>
      <c r="BQ17" s="822">
        <v>0.30976719562421123</v>
      </c>
      <c r="BR17" s="823">
        <f t="shared" si="92"/>
        <v>0.29540626032478334</v>
      </c>
      <c r="BS17" s="783"/>
      <c r="BT17" s="660">
        <v>6723403</v>
      </c>
      <c r="BU17" s="660">
        <v>0.34</v>
      </c>
      <c r="BV17" s="660">
        <f t="shared" si="93"/>
        <v>9.759847008611322E-2</v>
      </c>
      <c r="BW17" s="237">
        <v>7155288.9644999998</v>
      </c>
      <c r="BX17" s="238">
        <v>0.36964608490901918</v>
      </c>
      <c r="BY17" s="824">
        <f t="shared" si="60"/>
        <v>8.7194367379468174E-2</v>
      </c>
      <c r="BZ17" s="824">
        <v>8029824.328999999</v>
      </c>
      <c r="CA17" s="824">
        <v>0.39363869120338835</v>
      </c>
      <c r="CB17" s="824">
        <f t="shared" si="61"/>
        <v>6.4906967160965445E-2</v>
      </c>
      <c r="CC17" s="956">
        <v>8459101.3855000008</v>
      </c>
      <c r="CD17" s="956">
        <v>0.40700283805321286</v>
      </c>
      <c r="CE17" s="723">
        <f t="shared" si="101"/>
        <v>3.395028778540321E-2</v>
      </c>
      <c r="CF17" s="792">
        <f>F18+F19</f>
        <v>9697049.3831640016</v>
      </c>
      <c r="CG17" s="824">
        <f>G18+G19</f>
        <v>0.46607564425629766</v>
      </c>
      <c r="CH17" s="723">
        <f t="shared" si="95"/>
        <v>0.14514101789963796</v>
      </c>
      <c r="CI17" s="825">
        <f t="shared" si="63"/>
        <v>6.9712603169519083</v>
      </c>
      <c r="CJ17" s="723">
        <f t="shared" si="96"/>
        <v>0.12223764513536595</v>
      </c>
      <c r="DA17" s="287"/>
      <c r="DD17" s="12"/>
      <c r="DN17" s="12"/>
      <c r="DU17" s="12"/>
      <c r="DV17" s="12"/>
      <c r="DW17" s="12"/>
      <c r="DX17" s="12"/>
      <c r="DY17" s="12"/>
      <c r="ER17" s="266"/>
      <c r="FH17" s="266"/>
      <c r="FJ17" s="222">
        <f t="shared" si="78"/>
        <v>12</v>
      </c>
      <c r="FK17" s="242"/>
      <c r="FL17" s="877" t="s">
        <v>217</v>
      </c>
      <c r="FM17" s="650">
        <v>71670.960000000006</v>
      </c>
      <c r="FN17" s="650">
        <v>145385.94</v>
      </c>
      <c r="FO17" s="650">
        <v>289455.99114000006</v>
      </c>
      <c r="FP17" s="794">
        <f t="shared" si="21"/>
        <v>506512.89114000008</v>
      </c>
      <c r="FQ17" s="650">
        <v>72769.460000000006</v>
      </c>
      <c r="FR17" s="650">
        <v>145385.94</v>
      </c>
      <c r="FS17" s="650">
        <v>299604.49114000006</v>
      </c>
      <c r="FT17" s="650">
        <v>517759.89114000008</v>
      </c>
      <c r="FU17" s="955">
        <v>517759.89114000008</v>
      </c>
      <c r="FV17" s="16"/>
      <c r="FW17" s="266"/>
      <c r="GZ17" s="222">
        <v>12</v>
      </c>
      <c r="HA17" s="663">
        <v>12</v>
      </c>
      <c r="HB17" s="999">
        <v>10</v>
      </c>
      <c r="HC17" s="999">
        <v>11</v>
      </c>
      <c r="HD17" s="682">
        <v>93723945</v>
      </c>
      <c r="HE17" s="682">
        <v>102676361</v>
      </c>
      <c r="HF17" s="724">
        <f t="shared" si="22"/>
        <v>1.1000000000000001</v>
      </c>
      <c r="HG17" s="724">
        <f t="shared" si="23"/>
        <v>1.0955189839693582</v>
      </c>
      <c r="HH17" s="723">
        <v>0</v>
      </c>
      <c r="HI17" s="723">
        <v>1</v>
      </c>
      <c r="HJ17" s="723">
        <v>0</v>
      </c>
      <c r="HN17" s="243">
        <v>12</v>
      </c>
      <c r="HO17" s="891">
        <v>12</v>
      </c>
      <c r="HP17" s="793">
        <f t="shared" si="2"/>
        <v>1.0955189839693582</v>
      </c>
      <c r="HQ17" s="650">
        <v>2130.3900000000003</v>
      </c>
      <c r="HR17" s="794">
        <f t="shared" si="24"/>
        <v>2333.8826882584813</v>
      </c>
      <c r="HS17" s="650">
        <v>10172010</v>
      </c>
      <c r="HT17" s="975">
        <v>11151822</v>
      </c>
      <c r="HU17" s="650">
        <v>4623167.0237000007</v>
      </c>
      <c r="HV17" s="975">
        <v>5554330</v>
      </c>
      <c r="HW17" s="650">
        <v>225000</v>
      </c>
      <c r="HX17" s="955">
        <v>247500</v>
      </c>
      <c r="HY17" s="650">
        <f t="shared" si="25"/>
        <v>4850297.4137000004</v>
      </c>
      <c r="HZ17" s="650">
        <f t="shared" si="25"/>
        <v>5804163.8826882588</v>
      </c>
      <c r="IA17" s="206"/>
      <c r="IB17" s="207"/>
      <c r="IC17" s="206"/>
      <c r="ID17" s="244">
        <v>12</v>
      </c>
      <c r="IE17" s="891">
        <v>12</v>
      </c>
      <c r="IF17" s="899">
        <f t="shared" si="3"/>
        <v>1.1000000000000001</v>
      </c>
      <c r="IG17" s="900">
        <f t="shared" si="3"/>
        <v>1.0955189839693582</v>
      </c>
      <c r="IH17" s="955">
        <v>1443100.8181646655</v>
      </c>
      <c r="II17" s="794">
        <f t="shared" si="64"/>
        <v>1580944.3420811039</v>
      </c>
      <c r="IJ17" s="955">
        <v>92334.995999999999</v>
      </c>
      <c r="IK17" s="794">
        <f t="shared" si="26"/>
        <v>101154.74100273475</v>
      </c>
      <c r="IL17" s="955">
        <v>908913.26583533478</v>
      </c>
      <c r="IM17" s="794">
        <f t="shared" si="82"/>
        <v>999804.59241886833</v>
      </c>
      <c r="IN17" s="955">
        <v>1011478.181640237</v>
      </c>
      <c r="IO17" s="995">
        <v>1058208.4193069371</v>
      </c>
      <c r="IP17" s="955">
        <v>90683.825499999977</v>
      </c>
      <c r="IQ17" s="794">
        <f t="shared" si="27"/>
        <v>99345.852374214548</v>
      </c>
      <c r="IR17" s="955">
        <v>80296.399749999982</v>
      </c>
      <c r="IS17" s="794">
        <f t="shared" si="28"/>
        <v>87966.230270517408</v>
      </c>
      <c r="IT17" s="955">
        <v>143266.49</v>
      </c>
      <c r="IU17" s="794">
        <f t="shared" si="29"/>
        <v>156951.15956165621</v>
      </c>
      <c r="IV17" s="955">
        <v>581779.38425</v>
      </c>
      <c r="IW17" s="794">
        <f t="shared" si="30"/>
        <v>637350.35992787883</v>
      </c>
      <c r="IX17" s="650">
        <f t="shared" si="31"/>
        <v>4351853.3611402372</v>
      </c>
      <c r="IY17" s="650">
        <f t="shared" si="31"/>
        <v>4721725.6969439117</v>
      </c>
      <c r="IZ17" s="683">
        <f t="shared" si="4"/>
        <v>4.5986492421015113</v>
      </c>
      <c r="JD17" s="222">
        <v>12</v>
      </c>
      <c r="JE17" s="663">
        <v>12</v>
      </c>
      <c r="JF17" s="660">
        <f t="shared" si="5"/>
        <v>11</v>
      </c>
      <c r="JG17" s="660">
        <f t="shared" si="32"/>
        <v>11</v>
      </c>
      <c r="JH17" s="905">
        <f t="shared" si="6"/>
        <v>102676361</v>
      </c>
      <c r="JI17" s="905">
        <f t="shared" si="83"/>
        <v>102881762.89018504</v>
      </c>
      <c r="JJ17" s="906">
        <f t="shared" si="33"/>
        <v>1</v>
      </c>
      <c r="JK17" s="906">
        <f t="shared" si="34"/>
        <v>1.0020004788656762</v>
      </c>
      <c r="JL17" s="906">
        <f t="shared" si="35"/>
        <v>1.0313952284711925</v>
      </c>
      <c r="JM17" s="663" t="s">
        <v>238</v>
      </c>
      <c r="JN17" s="209"/>
      <c r="JO17" s="210"/>
      <c r="JP17" s="209"/>
      <c r="JQ17" s="222">
        <v>12</v>
      </c>
      <c r="JR17" s="663">
        <v>12</v>
      </c>
      <c r="JS17" s="914" t="str">
        <f t="shared" si="7"/>
        <v>Q3</v>
      </c>
      <c r="JT17" s="913">
        <f t="shared" si="8"/>
        <v>1.0313952284711925</v>
      </c>
      <c r="JU17" s="671">
        <f t="shared" si="36"/>
        <v>2333.8826882584813</v>
      </c>
      <c r="JV17" s="671">
        <f t="shared" si="37"/>
        <v>2407.1554684813173</v>
      </c>
      <c r="JW17" s="671">
        <f t="shared" si="9"/>
        <v>11151822</v>
      </c>
      <c r="JX17" s="671">
        <f t="shared" si="38"/>
        <v>11345828.034091229</v>
      </c>
      <c r="JY17" s="671">
        <f t="shared" si="10"/>
        <v>5554330</v>
      </c>
      <c r="JZ17" s="671">
        <f t="shared" si="11"/>
        <v>5100888.1620690292</v>
      </c>
      <c r="KA17" s="671">
        <f t="shared" si="39"/>
        <v>247500</v>
      </c>
      <c r="KB17" s="671">
        <f t="shared" si="40"/>
        <v>222267.8596009273</v>
      </c>
      <c r="KC17" s="671">
        <f t="shared" si="41"/>
        <v>5804163.8826882588</v>
      </c>
      <c r="KD17" s="671">
        <f t="shared" si="41"/>
        <v>5325563.1771384384</v>
      </c>
      <c r="KE17" s="211"/>
      <c r="KF17" s="210"/>
      <c r="KG17" s="209"/>
      <c r="KH17" s="245">
        <f t="shared" si="65"/>
        <v>12</v>
      </c>
      <c r="KI17" s="917">
        <v>11</v>
      </c>
      <c r="KJ17" s="918">
        <f t="shared" si="66"/>
        <v>1</v>
      </c>
      <c r="KK17" s="918">
        <f t="shared" si="66"/>
        <v>1.0020004788656762</v>
      </c>
      <c r="KL17" s="898">
        <v>1.6406666700000001</v>
      </c>
      <c r="KM17" s="801">
        <f t="shared" si="67"/>
        <v>1530275.8209217212</v>
      </c>
      <c r="KN17" s="898">
        <v>1.6406666700000001</v>
      </c>
      <c r="KO17" s="801">
        <f t="shared" si="42"/>
        <v>88863.177345916905</v>
      </c>
      <c r="KP17" s="898">
        <v>1.6406666700000001</v>
      </c>
      <c r="KQ17" s="801">
        <f t="shared" si="43"/>
        <v>724132.01486431516</v>
      </c>
      <c r="KR17" s="898">
        <v>1.6406666700000001</v>
      </c>
      <c r="KS17" s="801">
        <f t="shared" si="68"/>
        <v>1145645.4294126201</v>
      </c>
      <c r="KT17" s="898">
        <v>1.6406666700000001</v>
      </c>
      <c r="KU17" s="801">
        <f t="shared" si="44"/>
        <v>124032.8564408555</v>
      </c>
      <c r="KV17" s="898">
        <v>1.6406666700000001</v>
      </c>
      <c r="KW17" s="801">
        <f t="shared" si="45"/>
        <v>66813.560226262693</v>
      </c>
      <c r="KX17" s="898">
        <v>1.6406666700000001</v>
      </c>
      <c r="KY17" s="801">
        <f t="shared" si="46"/>
        <v>145958.61524940049</v>
      </c>
      <c r="KZ17" s="898">
        <v>1.6406666700000001</v>
      </c>
      <c r="LA17" s="919">
        <f t="shared" si="47"/>
        <v>401450.04694021022</v>
      </c>
      <c r="LB17" s="646">
        <f t="shared" si="48"/>
        <v>4044324.1200189614</v>
      </c>
      <c r="LC17" s="646">
        <f t="shared" si="79"/>
        <v>4227171.5214013029</v>
      </c>
      <c r="LD17" s="16"/>
      <c r="LE17" s="220"/>
      <c r="LG17" s="222">
        <v>12</v>
      </c>
      <c r="LH17" s="922">
        <v>12</v>
      </c>
      <c r="LI17" s="650">
        <f t="shared" si="12"/>
        <v>4850297.4137000004</v>
      </c>
      <c r="LJ17" s="650">
        <f t="shared" si="12"/>
        <v>5804163.8826882588</v>
      </c>
      <c r="LK17" s="794">
        <f t="shared" si="13"/>
        <v>5325563.1771384384</v>
      </c>
      <c r="LL17" s="650">
        <f t="shared" si="14"/>
        <v>4351853.3611402372</v>
      </c>
      <c r="LM17" s="650">
        <f t="shared" si="14"/>
        <v>4721725.6969439117</v>
      </c>
      <c r="LN17" s="794">
        <f t="shared" si="49"/>
        <v>4869965.3539777659</v>
      </c>
      <c r="LO17" s="650">
        <f t="shared" si="50"/>
        <v>498444.05255976319</v>
      </c>
      <c r="LP17" s="650">
        <f t="shared" si="50"/>
        <v>1082438.1857443471</v>
      </c>
      <c r="LQ17" s="650">
        <f t="shared" si="50"/>
        <v>455597.82316067256</v>
      </c>
      <c r="MA17" s="192">
        <f t="shared" si="80"/>
        <v>11</v>
      </c>
      <c r="MB17" s="814" t="s">
        <v>49</v>
      </c>
      <c r="MC17" s="860">
        <f t="shared" si="102"/>
        <v>25073716.728897151</v>
      </c>
      <c r="MD17" s="928">
        <f t="shared" si="103"/>
        <v>1.1405125247529739</v>
      </c>
      <c r="ME17" s="796"/>
      <c r="MF17" s="798">
        <f t="shared" si="104"/>
        <v>25073716.728897151</v>
      </c>
      <c r="MG17" s="928">
        <f t="shared" si="105"/>
        <v>1.1405125247529739</v>
      </c>
      <c r="MK17" s="192">
        <f t="shared" si="81"/>
        <v>11</v>
      </c>
      <c r="ML17" s="253" t="str">
        <f t="shared" si="53"/>
        <v>Building</v>
      </c>
      <c r="MM17" s="979">
        <v>22755368.059679482</v>
      </c>
      <c r="MN17" s="860">
        <f t="shared" si="106"/>
        <v>25073716.728897151</v>
      </c>
      <c r="MO17" s="860">
        <f t="shared" si="70"/>
        <v>2318348.6692176685</v>
      </c>
      <c r="MP17" s="802">
        <f t="shared" si="71"/>
        <v>0.10188139621110234</v>
      </c>
    </row>
    <row r="18" spans="1:357" s="29" customFormat="1" ht="16.5" x14ac:dyDescent="0.3">
      <c r="B18" s="181">
        <f t="shared" si="72"/>
        <v>13</v>
      </c>
      <c r="C18" s="251"/>
      <c r="D18" s="796" t="s">
        <v>52</v>
      </c>
      <c r="E18" s="797"/>
      <c r="F18" s="798">
        <f>EL9</f>
        <v>5900402.2061640006</v>
      </c>
      <c r="G18" s="799">
        <f t="shared" si="97"/>
        <v>0.28359490097923706</v>
      </c>
      <c r="H18" s="798">
        <f>EP9</f>
        <v>5942658.5173137691</v>
      </c>
      <c r="I18" s="800">
        <f t="shared" si="98"/>
        <v>0.28412965774054211</v>
      </c>
      <c r="J18" s="801">
        <f t="shared" si="54"/>
        <v>42256.311149768531</v>
      </c>
      <c r="K18" s="798">
        <f>IU26</f>
        <v>6168270.1152246939</v>
      </c>
      <c r="L18" s="800">
        <f t="shared" si="99"/>
        <v>0.28113353700806315</v>
      </c>
      <c r="M18" s="801">
        <f t="shared" si="55"/>
        <v>225611.59791092481</v>
      </c>
      <c r="N18" s="798">
        <f>KY27</f>
        <v>6383393.3519198252</v>
      </c>
      <c r="O18" s="800">
        <f t="shared" si="100"/>
        <v>0.29035743471963721</v>
      </c>
      <c r="P18" s="801">
        <f t="shared" si="56"/>
        <v>215123.23669513129</v>
      </c>
      <c r="Q18" s="798">
        <f t="shared" si="57"/>
        <v>482991.14575582463</v>
      </c>
      <c r="R18" s="802">
        <f t="shared" si="58"/>
        <v>2.3845752222799055E-2</v>
      </c>
      <c r="S18" s="12"/>
      <c r="T18" s="13"/>
      <c r="U18" s="12"/>
      <c r="V18" s="165">
        <f>V16+1</f>
        <v>9</v>
      </c>
      <c r="W18" s="805" t="s">
        <v>172</v>
      </c>
      <c r="X18" s="650">
        <f>SUMPRODUCT($LQ$6:$LQ$25,HH6:HH25)</f>
        <v>-3788321.6035620491</v>
      </c>
      <c r="Y18" s="650">
        <f>SUMPRODUCT($LQ$6:$LQ$25,HI6:HI25)</f>
        <v>921307.90834897733</v>
      </c>
      <c r="Z18" s="650">
        <f>SUMPRODUCT($LQ$6:$LQ$25,HJ6:HJ25)</f>
        <v>6938172.75522778</v>
      </c>
      <c r="AA18" s="650">
        <f>SUM(X18:Z18)</f>
        <v>4071159.060014708</v>
      </c>
      <c r="AB18" s="230"/>
      <c r="AC18" s="12"/>
      <c r="AD18" s="13"/>
      <c r="AE18" s="12"/>
      <c r="AF18" s="252">
        <f t="shared" si="73"/>
        <v>12</v>
      </c>
      <c r="AG18" s="191" t="s">
        <v>26</v>
      </c>
      <c r="AK18" s="12"/>
      <c r="AL18" s="299"/>
      <c r="AM18" s="12"/>
      <c r="AN18" s="312">
        <f t="shared" si="108"/>
        <v>13</v>
      </c>
      <c r="AO18" s="313"/>
      <c r="AP18" s="314"/>
      <c r="AQ18" s="843" t="s">
        <v>53</v>
      </c>
      <c r="AR18" s="844"/>
      <c r="AS18" s="845">
        <v>5928822.8260000004</v>
      </c>
      <c r="AT18" s="846">
        <v>0.57815077141840288</v>
      </c>
      <c r="AU18" s="847"/>
      <c r="AV18" s="845">
        <v>3792013.7597000003</v>
      </c>
      <c r="AW18" s="846">
        <v>0.35137968141626907</v>
      </c>
      <c r="AX18" s="848">
        <f t="shared" si="87"/>
        <v>-0.39223521132002692</v>
      </c>
      <c r="AY18" s="847"/>
      <c r="AZ18" s="845">
        <v>5238845.7033359464</v>
      </c>
      <c r="BA18" s="846">
        <v>0.40606900530629209</v>
      </c>
      <c r="BB18" s="848">
        <f t="shared" si="88"/>
        <v>0.15564167987628807</v>
      </c>
      <c r="BC18" s="847"/>
      <c r="BD18" s="845">
        <v>5407089.8699504221</v>
      </c>
      <c r="BE18" s="846">
        <v>0.36767645852816944</v>
      </c>
      <c r="BF18" s="848">
        <f t="shared" si="89"/>
        <v>-9.4546853555502741E-2</v>
      </c>
      <c r="BG18" s="847"/>
      <c r="BH18" s="845">
        <v>7543565.8774000006</v>
      </c>
      <c r="BI18" s="846">
        <v>0.49640433719995791</v>
      </c>
      <c r="BJ18" s="848">
        <f t="shared" si="90"/>
        <v>0.3501118325255137</v>
      </c>
      <c r="BK18" s="847"/>
      <c r="BL18" s="845">
        <v>8178976.4044999983</v>
      </c>
      <c r="BM18" s="846">
        <v>0.48622711326046231</v>
      </c>
      <c r="BN18" s="848">
        <f t="shared" si="91"/>
        <v>-2.050188359936933E-2</v>
      </c>
      <c r="BO18" s="847"/>
      <c r="BP18" s="845">
        <v>9693134.9169999994</v>
      </c>
      <c r="BQ18" s="846">
        <v>0.52259989598697731</v>
      </c>
      <c r="BR18" s="848">
        <f t="shared" si="92"/>
        <v>7.4806158962654967E-2</v>
      </c>
      <c r="BS18" s="847"/>
      <c r="BT18" s="843">
        <v>9228973</v>
      </c>
      <c r="BU18" s="843">
        <v>0.47</v>
      </c>
      <c r="BV18" s="843">
        <f t="shared" si="93"/>
        <v>-0.10065041419045384</v>
      </c>
      <c r="BW18" s="315">
        <v>10423908.153099999</v>
      </c>
      <c r="BX18" s="316">
        <v>0.53850471411588496</v>
      </c>
      <c r="BY18" s="849">
        <f t="shared" si="60"/>
        <v>0.14575471088486158</v>
      </c>
      <c r="BZ18" s="849">
        <v>10530651.726950001</v>
      </c>
      <c r="CA18" s="849">
        <v>0.51623445214666785</v>
      </c>
      <c r="CB18" s="849">
        <f t="shared" si="61"/>
        <v>-4.1355741900570675E-2</v>
      </c>
      <c r="CC18" s="957">
        <v>10262021.9365</v>
      </c>
      <c r="CD18" s="957">
        <v>0.49374890570281921</v>
      </c>
      <c r="CE18" s="802">
        <f t="shared" si="101"/>
        <v>-4.3556849703359712E-2</v>
      </c>
      <c r="CF18" s="850">
        <f t="shared" ref="CF18:CG20" si="109">F20</f>
        <v>12400752.312759999</v>
      </c>
      <c r="CG18" s="849">
        <f t="shared" si="109"/>
        <v>0.59602549136926886</v>
      </c>
      <c r="CH18" s="802">
        <f t="shared" si="95"/>
        <v>0.20714291107312044</v>
      </c>
      <c r="CI18" s="851">
        <f t="shared" si="63"/>
        <v>1.0916044679861714</v>
      </c>
      <c r="CJ18" s="802">
        <f t="shared" si="96"/>
        <v>4.1848138382024169E-2</v>
      </c>
      <c r="CK18" s="12"/>
      <c r="CL18" s="13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3"/>
      <c r="CZ18" s="12"/>
      <c r="DA18" s="287"/>
      <c r="DB18" s="12"/>
      <c r="DC18" s="12"/>
      <c r="DD18" s="12"/>
      <c r="DE18" s="12"/>
      <c r="DF18" s="12"/>
      <c r="DG18" s="12"/>
      <c r="DH18" s="12"/>
      <c r="DI18" s="13"/>
      <c r="DJ18" s="12"/>
      <c r="DK18" s="12"/>
      <c r="DL18" s="12"/>
      <c r="DM18" s="12"/>
      <c r="DN18" s="12"/>
      <c r="DO18" s="12"/>
      <c r="DP18" s="12"/>
      <c r="DQ18" s="12"/>
      <c r="DR18" s="1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3"/>
      <c r="EF18" s="12"/>
      <c r="EG18" s="12"/>
      <c r="EH18" s="12"/>
      <c r="EI18" s="12"/>
      <c r="EJ18" s="12"/>
      <c r="EK18" s="12"/>
      <c r="EL18" s="232"/>
      <c r="EM18" s="12"/>
      <c r="EN18" s="12"/>
      <c r="EO18" s="12"/>
      <c r="EP18" s="12"/>
      <c r="EQ18" s="12"/>
      <c r="ER18" s="266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266"/>
      <c r="FI18" s="12"/>
      <c r="FJ18" s="192">
        <f t="shared" si="78"/>
        <v>13</v>
      </c>
      <c r="FK18" s="265"/>
      <c r="FL18" s="878" t="s">
        <v>218</v>
      </c>
      <c r="FM18" s="860">
        <v>46359.069999999985</v>
      </c>
      <c r="FN18" s="860">
        <v>56738.55999999999</v>
      </c>
      <c r="FO18" s="860">
        <v>59444.51999999999</v>
      </c>
      <c r="FP18" s="801">
        <f t="shared" si="21"/>
        <v>162542.14999999997</v>
      </c>
      <c r="FQ18" s="860">
        <v>46359.069999999985</v>
      </c>
      <c r="FR18" s="860">
        <v>56738.55999999999</v>
      </c>
      <c r="FS18" s="860">
        <v>59660.01999999999</v>
      </c>
      <c r="FT18" s="860">
        <v>162757.64999999997</v>
      </c>
      <c r="FU18" s="955">
        <v>162757.64999999997</v>
      </c>
      <c r="FV18" s="16"/>
      <c r="FW18" s="266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3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3"/>
      <c r="GX18" s="12"/>
      <c r="GY18" s="12"/>
      <c r="GZ18" s="192">
        <v>13</v>
      </c>
      <c r="HA18" s="886">
        <v>13</v>
      </c>
      <c r="HB18" s="886">
        <v>10</v>
      </c>
      <c r="HC18" s="886">
        <v>10</v>
      </c>
      <c r="HD18" s="887">
        <v>107393163</v>
      </c>
      <c r="HE18" s="887">
        <v>109881634</v>
      </c>
      <c r="HF18" s="800">
        <f t="shared" si="22"/>
        <v>1</v>
      </c>
      <c r="HG18" s="800">
        <f t="shared" si="23"/>
        <v>1.023171596128517</v>
      </c>
      <c r="HH18" s="802">
        <v>0</v>
      </c>
      <c r="HI18" s="802">
        <v>1</v>
      </c>
      <c r="HJ18" s="802">
        <v>0</v>
      </c>
      <c r="HK18" s="12"/>
      <c r="HL18" s="13"/>
      <c r="HM18" s="12"/>
      <c r="HN18" s="267">
        <v>13</v>
      </c>
      <c r="HO18" s="892">
        <v>13</v>
      </c>
      <c r="HP18" s="799">
        <f t="shared" si="2"/>
        <v>1.023171596128517</v>
      </c>
      <c r="HQ18" s="860">
        <v>27775.331600000001</v>
      </c>
      <c r="HR18" s="801">
        <f t="shared" si="24"/>
        <v>28418.93036617084</v>
      </c>
      <c r="HS18" s="860">
        <v>11862742</v>
      </c>
      <c r="HT18" s="975">
        <v>12146248</v>
      </c>
      <c r="HU18" s="860">
        <v>5631426.6320999991</v>
      </c>
      <c r="HV18" s="975">
        <v>6209842</v>
      </c>
      <c r="HW18" s="860">
        <v>225000</v>
      </c>
      <c r="HX18" s="955">
        <v>225000</v>
      </c>
      <c r="HY18" s="860">
        <f t="shared" si="25"/>
        <v>5884201.9636999993</v>
      </c>
      <c r="HZ18" s="860">
        <f t="shared" si="25"/>
        <v>6463260.9303661706</v>
      </c>
      <c r="IA18" s="206"/>
      <c r="IB18" s="207"/>
      <c r="IC18" s="206"/>
      <c r="ID18" s="208">
        <v>13</v>
      </c>
      <c r="IE18" s="892">
        <v>13</v>
      </c>
      <c r="IF18" s="896">
        <f t="shared" si="3"/>
        <v>1</v>
      </c>
      <c r="IG18" s="897">
        <f t="shared" si="3"/>
        <v>1.023171596128517</v>
      </c>
      <c r="IH18" s="955">
        <v>2205203.5761924665</v>
      </c>
      <c r="II18" s="801">
        <f t="shared" si="64"/>
        <v>2256301.6628411599</v>
      </c>
      <c r="IJ18" s="955">
        <v>67547.691000000006</v>
      </c>
      <c r="IK18" s="801">
        <f t="shared" si="26"/>
        <v>69112.878815265867</v>
      </c>
      <c r="IL18" s="955">
        <v>1259192.0478075333</v>
      </c>
      <c r="IM18" s="801">
        <f t="shared" si="82"/>
        <v>1259192.0478075333</v>
      </c>
      <c r="IN18" s="955">
        <v>1272524.4114888334</v>
      </c>
      <c r="IO18" s="995">
        <v>1272524.4114888334</v>
      </c>
      <c r="IP18" s="955">
        <v>139071.08429999999</v>
      </c>
      <c r="IQ18" s="801">
        <f t="shared" si="27"/>
        <v>142293.58329855453</v>
      </c>
      <c r="IR18" s="955">
        <v>69474.350399999981</v>
      </c>
      <c r="IS18" s="801">
        <f t="shared" si="28"/>
        <v>71084.181988759854</v>
      </c>
      <c r="IT18" s="955">
        <v>183955.41</v>
      </c>
      <c r="IU18" s="801">
        <f t="shared" si="29"/>
        <v>188217.95046617577</v>
      </c>
      <c r="IV18" s="955">
        <v>549829.40595000004</v>
      </c>
      <c r="IW18" s="801">
        <f t="shared" si="30"/>
        <v>562569.83088425593</v>
      </c>
      <c r="IX18" s="860">
        <f t="shared" si="31"/>
        <v>5746797.9771388331</v>
      </c>
      <c r="IY18" s="860">
        <f t="shared" si="31"/>
        <v>5821296.5475905379</v>
      </c>
      <c r="IZ18" s="898">
        <f t="shared" si="4"/>
        <v>5.2977884799115182</v>
      </c>
      <c r="JA18" s="12"/>
      <c r="JB18" s="13"/>
      <c r="JC18" s="12"/>
      <c r="JD18" s="192">
        <v>13</v>
      </c>
      <c r="JE18" s="886">
        <v>13</v>
      </c>
      <c r="JF18" s="796">
        <f t="shared" si="5"/>
        <v>10</v>
      </c>
      <c r="JG18" s="804">
        <f t="shared" si="32"/>
        <v>10</v>
      </c>
      <c r="JH18" s="859">
        <f t="shared" si="6"/>
        <v>109881634</v>
      </c>
      <c r="JI18" s="859">
        <f t="shared" si="83"/>
        <v>110101449.88654298</v>
      </c>
      <c r="JJ18" s="904">
        <f t="shared" si="33"/>
        <v>1</v>
      </c>
      <c r="JK18" s="904">
        <f t="shared" si="34"/>
        <v>1.0020004788656762</v>
      </c>
      <c r="JL18" s="904">
        <f t="shared" si="35"/>
        <v>1.0313971954648489</v>
      </c>
      <c r="JM18" s="886" t="s">
        <v>238</v>
      </c>
      <c r="JN18" s="209"/>
      <c r="JO18" s="210"/>
      <c r="JP18" s="209"/>
      <c r="JQ18" s="192">
        <v>13</v>
      </c>
      <c r="JR18" s="886">
        <v>13</v>
      </c>
      <c r="JS18" s="910" t="str">
        <f t="shared" si="7"/>
        <v>Q3</v>
      </c>
      <c r="JT18" s="911">
        <f t="shared" si="8"/>
        <v>1.0313971954648489</v>
      </c>
      <c r="JU18" s="860">
        <f t="shared" si="36"/>
        <v>28418.93036617084</v>
      </c>
      <c r="JV18" s="860">
        <f t="shared" si="37"/>
        <v>29311.205077779436</v>
      </c>
      <c r="JW18" s="860">
        <f t="shared" si="9"/>
        <v>12146248</v>
      </c>
      <c r="JX18" s="860">
        <f t="shared" si="38"/>
        <v>12142017.026382068</v>
      </c>
      <c r="JY18" s="860">
        <f t="shared" si="10"/>
        <v>6209842</v>
      </c>
      <c r="JZ18" s="860">
        <f t="shared" si="11"/>
        <v>5458840.9702151567</v>
      </c>
      <c r="KA18" s="860">
        <f t="shared" si="39"/>
        <v>225000</v>
      </c>
      <c r="KB18" s="860">
        <f t="shared" si="40"/>
        <v>237865.41868807055</v>
      </c>
      <c r="KC18" s="860">
        <f t="shared" si="41"/>
        <v>6463260.9303661706</v>
      </c>
      <c r="KD18" s="860">
        <f t="shared" si="41"/>
        <v>5726017.5939810071</v>
      </c>
      <c r="KE18" s="211"/>
      <c r="KF18" s="210"/>
      <c r="KG18" s="209"/>
      <c r="KH18" s="243">
        <f t="shared" si="65"/>
        <v>13</v>
      </c>
      <c r="KI18" s="891">
        <v>12</v>
      </c>
      <c r="KJ18" s="920">
        <f t="shared" si="66"/>
        <v>1</v>
      </c>
      <c r="KK18" s="920">
        <f t="shared" si="66"/>
        <v>1.0020004788656762</v>
      </c>
      <c r="KL18" s="683">
        <v>1.6626666699999999</v>
      </c>
      <c r="KM18" s="794">
        <f t="shared" si="67"/>
        <v>1631998.5975137404</v>
      </c>
      <c r="KN18" s="683">
        <v>1.6626666699999999</v>
      </c>
      <c r="KO18" s="794">
        <f t="shared" si="42"/>
        <v>104421.38350741495</v>
      </c>
      <c r="KP18" s="683">
        <v>1.6626666699999999</v>
      </c>
      <c r="KQ18" s="794">
        <f t="shared" si="43"/>
        <v>1030031.2448311668</v>
      </c>
      <c r="KR18" s="683">
        <v>1.6626666699999999</v>
      </c>
      <c r="KS18" s="794">
        <f t="shared" si="68"/>
        <v>1090200.7689247492</v>
      </c>
      <c r="KT18" s="683">
        <v>1.6626666699999999</v>
      </c>
      <c r="KU18" s="794">
        <f t="shared" si="44"/>
        <v>102554.07950042032</v>
      </c>
      <c r="KV18" s="683">
        <v>1.6626666699999999</v>
      </c>
      <c r="KW18" s="794">
        <f t="shared" si="45"/>
        <v>90806.969359260547</v>
      </c>
      <c r="KX18" s="683">
        <v>1.6626666699999999</v>
      </c>
      <c r="KY18" s="794">
        <f t="shared" si="46"/>
        <v>162019.66474392035</v>
      </c>
      <c r="KZ18" s="683">
        <v>1.6626666699999999</v>
      </c>
      <c r="LA18" s="794">
        <f t="shared" si="47"/>
        <v>657932.64559709269</v>
      </c>
      <c r="LB18" s="650">
        <f t="shared" si="48"/>
        <v>4721725.6969439117</v>
      </c>
      <c r="LC18" s="650">
        <f t="shared" si="79"/>
        <v>4869965.3539777659</v>
      </c>
      <c r="LD18" s="16"/>
      <c r="LE18" s="220"/>
      <c r="LF18" s="12"/>
      <c r="LG18" s="192">
        <v>13</v>
      </c>
      <c r="LH18" s="921">
        <v>13</v>
      </c>
      <c r="LI18" s="860">
        <f t="shared" si="12"/>
        <v>5884201.9636999993</v>
      </c>
      <c r="LJ18" s="860">
        <f t="shared" si="12"/>
        <v>6463260.9303661706</v>
      </c>
      <c r="LK18" s="801">
        <f t="shared" si="13"/>
        <v>5726017.5939810071</v>
      </c>
      <c r="LL18" s="860">
        <f t="shared" si="14"/>
        <v>5746797.9771388331</v>
      </c>
      <c r="LM18" s="860">
        <f t="shared" si="14"/>
        <v>5821296.5475905379</v>
      </c>
      <c r="LN18" s="801">
        <f t="shared" si="49"/>
        <v>6004068.9331540884</v>
      </c>
      <c r="LO18" s="860">
        <f t="shared" si="50"/>
        <v>137403.98656116612</v>
      </c>
      <c r="LP18" s="860">
        <f t="shared" si="50"/>
        <v>641964.38277563266</v>
      </c>
      <c r="LQ18" s="860">
        <f t="shared" si="50"/>
        <v>-278051.33917308133</v>
      </c>
      <c r="LR18" s="12"/>
      <c r="LS18" s="13"/>
      <c r="LT18" s="12"/>
      <c r="LU18" s="12"/>
      <c r="LV18" s="12"/>
      <c r="LW18" s="12"/>
      <c r="LX18" s="12"/>
      <c r="LY18" s="13"/>
      <c r="LZ18" s="12"/>
      <c r="MA18" s="222">
        <f t="shared" si="80"/>
        <v>12</v>
      </c>
      <c r="MB18" s="812" t="s">
        <v>52</v>
      </c>
      <c r="MC18" s="650">
        <f t="shared" si="102"/>
        <v>6383393.3519198252</v>
      </c>
      <c r="MD18" s="747">
        <f t="shared" si="103"/>
        <v>0.29035743471963721</v>
      </c>
      <c r="ME18" s="660"/>
      <c r="MF18" s="792">
        <f t="shared" si="104"/>
        <v>6383393.3519198252</v>
      </c>
      <c r="MG18" s="747">
        <f t="shared" si="105"/>
        <v>0.29035743471963721</v>
      </c>
      <c r="MH18" s="12"/>
      <c r="MI18" s="13"/>
      <c r="MJ18" s="12"/>
      <c r="MK18" s="222">
        <f t="shared" si="81"/>
        <v>12</v>
      </c>
      <c r="ML18" s="231" t="str">
        <f t="shared" si="53"/>
        <v>Equipment</v>
      </c>
      <c r="MM18" s="979">
        <v>5448128.1456260383</v>
      </c>
      <c r="MN18" s="650">
        <f t="shared" si="106"/>
        <v>6383393.3519198252</v>
      </c>
      <c r="MO18" s="650">
        <f t="shared" si="70"/>
        <v>935265.20629378688</v>
      </c>
      <c r="MP18" s="823">
        <f t="shared" si="71"/>
        <v>0.17166725548565756</v>
      </c>
      <c r="MQ18" s="12"/>
      <c r="MR18" s="13"/>
      <c r="MS18" s="12"/>
    </row>
    <row r="19" spans="1:357" ht="16.5" x14ac:dyDescent="0.3">
      <c r="B19" s="143">
        <f t="shared" si="72"/>
        <v>14</v>
      </c>
      <c r="C19" s="223"/>
      <c r="D19" s="660" t="s">
        <v>50</v>
      </c>
      <c r="E19" s="791"/>
      <c r="F19" s="792">
        <f>EY9</f>
        <v>3796647.1770000006</v>
      </c>
      <c r="G19" s="793">
        <f t="shared" si="97"/>
        <v>0.1824807432770606</v>
      </c>
      <c r="H19" s="792">
        <f>FF9</f>
        <v>3622420.2399469693</v>
      </c>
      <c r="I19" s="724">
        <f t="shared" si="98"/>
        <v>0.17319471074602244</v>
      </c>
      <c r="J19" s="794">
        <f t="shared" si="54"/>
        <v>-174226.93705303129</v>
      </c>
      <c r="K19" s="792">
        <f>IQ26+IS26</f>
        <v>3898827.7473696326</v>
      </c>
      <c r="L19" s="724">
        <f t="shared" si="99"/>
        <v>0.17769831967925684</v>
      </c>
      <c r="M19" s="794">
        <f t="shared" si="55"/>
        <v>276407.50742266327</v>
      </c>
      <c r="N19" s="792">
        <f>KU27+KW27</f>
        <v>4039492.6686239806</v>
      </c>
      <c r="O19" s="724">
        <f t="shared" si="100"/>
        <v>0.18374188525883153</v>
      </c>
      <c r="P19" s="794">
        <f t="shared" si="56"/>
        <v>140664.92125434801</v>
      </c>
      <c r="Q19" s="792">
        <f t="shared" si="57"/>
        <v>242845.49162397999</v>
      </c>
      <c r="R19" s="723">
        <f t="shared" si="58"/>
        <v>6.9110962566396594E-3</v>
      </c>
      <c r="V19" s="252">
        <f t="shared" si="59"/>
        <v>10</v>
      </c>
      <c r="W19" s="806" t="s">
        <v>179</v>
      </c>
      <c r="X19" s="800">
        <f>X18/N$24*100</f>
        <v>-0.17231702357374551</v>
      </c>
      <c r="Y19" s="800">
        <f>Y18/N$24*100</f>
        <v>4.1906958588831068E-2</v>
      </c>
      <c r="Z19" s="800">
        <f>Z18/N$24*100</f>
        <v>0.3155923396517204</v>
      </c>
      <c r="AA19" s="800">
        <f>AA18/N$24*100</f>
        <v>0.18518227466680592</v>
      </c>
      <c r="AB19" s="227"/>
      <c r="AC19" s="233"/>
      <c r="AF19" s="165">
        <f t="shared" si="73"/>
        <v>13</v>
      </c>
      <c r="AG19" s="812" t="s">
        <v>77</v>
      </c>
      <c r="AH19" s="813">
        <f>AH15*KK27</f>
        <v>1859603.4747214839</v>
      </c>
      <c r="AI19" s="813">
        <f>AI15*KK27</f>
        <v>92389.832417596393</v>
      </c>
      <c r="AJ19" s="813">
        <f>AJ15*KJ27</f>
        <v>585111.37535486498</v>
      </c>
      <c r="AL19" s="299"/>
      <c r="AN19" s="222">
        <f t="shared" si="108"/>
        <v>14</v>
      </c>
      <c r="AO19" s="2"/>
      <c r="AP19" s="317" t="s">
        <v>59</v>
      </c>
      <c r="AQ19" s="5"/>
      <c r="AR19" s="224"/>
      <c r="AS19" s="233">
        <v>32802383.3928</v>
      </c>
      <c r="AT19" s="234">
        <v>3.1987333437832652</v>
      </c>
      <c r="AU19" s="235"/>
      <c r="AV19" s="233">
        <v>36250313.730549999</v>
      </c>
      <c r="AW19" s="234">
        <v>3.359065788539803</v>
      </c>
      <c r="AX19" s="236">
        <f t="shared" si="87"/>
        <v>5.012372946564736E-2</v>
      </c>
      <c r="AY19" s="235"/>
      <c r="AZ19" s="233">
        <v>43223045.707989462</v>
      </c>
      <c r="BA19" s="234">
        <v>3.3502683932407789</v>
      </c>
      <c r="BB19" s="236">
        <f t="shared" si="88"/>
        <v>-2.6190005950578188E-3</v>
      </c>
      <c r="BC19" s="235"/>
      <c r="BD19" s="233">
        <v>49380961.369565383</v>
      </c>
      <c r="BE19" s="234">
        <v>3.3578537497555252</v>
      </c>
      <c r="BF19" s="236">
        <f t="shared" si="89"/>
        <v>2.2641041326867395E-3</v>
      </c>
      <c r="BG19" s="235"/>
      <c r="BH19" s="233">
        <v>57308507.547660008</v>
      </c>
      <c r="BI19" s="234">
        <v>3.7711862224659241</v>
      </c>
      <c r="BJ19" s="236">
        <f t="shared" si="90"/>
        <v>0.12309424516791179</v>
      </c>
      <c r="BK19" s="235"/>
      <c r="BL19" s="233">
        <v>61753474.575707734</v>
      </c>
      <c r="BM19" s="234">
        <v>3.6711456534132534</v>
      </c>
      <c r="BN19" s="236">
        <f t="shared" si="91"/>
        <v>-2.6527613103989212E-2</v>
      </c>
      <c r="BO19" s="235"/>
      <c r="BP19" s="233">
        <v>74174917.572400004</v>
      </c>
      <c r="BQ19" s="234">
        <v>3.9990987993156044</v>
      </c>
      <c r="BR19" s="236">
        <f t="shared" si="92"/>
        <v>8.9332643502563425E-2</v>
      </c>
      <c r="BS19" s="235"/>
      <c r="BT19" s="12">
        <v>83233170</v>
      </c>
      <c r="BU19" s="12">
        <v>4.24</v>
      </c>
      <c r="BV19" s="12">
        <f t="shared" si="93"/>
        <v>6.0238871999267252E-2</v>
      </c>
      <c r="BW19" s="237">
        <v>91278660.188299984</v>
      </c>
      <c r="BX19" s="238">
        <v>4.7155047883804926</v>
      </c>
      <c r="BY19" s="239">
        <f t="shared" si="60"/>
        <v>0.11214735575011603</v>
      </c>
      <c r="BZ19" s="239">
        <v>96836161.677461118</v>
      </c>
      <c r="CA19" s="239">
        <v>4.7471100714133083</v>
      </c>
      <c r="CB19" s="239">
        <f t="shared" si="61"/>
        <v>6.7024177582630795E-3</v>
      </c>
      <c r="CC19" s="956">
        <v>99050498.270500004</v>
      </c>
      <c r="CD19" s="956">
        <v>4.7657348067469085</v>
      </c>
      <c r="CE19" s="852">
        <f t="shared" si="101"/>
        <v>3.923383922727286E-3</v>
      </c>
      <c r="CF19" s="792">
        <f t="shared" si="109"/>
        <v>104216563.686424</v>
      </c>
      <c r="CG19" s="824">
        <f t="shared" si="109"/>
        <v>5.0090290502861157</v>
      </c>
      <c r="CH19" s="852">
        <f t="shared" si="95"/>
        <v>5.1050730559907054E-2</v>
      </c>
      <c r="CI19" s="825">
        <f t="shared" si="63"/>
        <v>2.1771033963739095</v>
      </c>
      <c r="CJ19" s="852">
        <f t="shared" si="96"/>
        <v>6.6327551373152493E-2</v>
      </c>
      <c r="DA19" s="287"/>
      <c r="DD19" s="12"/>
      <c r="DN19" s="12"/>
      <c r="DU19" s="12"/>
      <c r="DV19" s="12"/>
      <c r="DW19" s="12"/>
      <c r="DX19" s="12"/>
      <c r="DY19" s="12"/>
      <c r="ER19" s="266"/>
      <c r="FH19" s="266"/>
      <c r="FJ19" s="222">
        <f t="shared" si="78"/>
        <v>14</v>
      </c>
      <c r="FK19" s="242"/>
      <c r="FL19" s="877" t="s">
        <v>219</v>
      </c>
      <c r="FM19" s="650">
        <v>77710.069000000003</v>
      </c>
      <c r="FN19" s="650">
        <v>100417.86000000002</v>
      </c>
      <c r="FO19" s="650">
        <v>103913.43999999997</v>
      </c>
      <c r="FP19" s="794">
        <f t="shared" si="21"/>
        <v>282041.36899999995</v>
      </c>
      <c r="FQ19" s="650">
        <v>77710.069000000003</v>
      </c>
      <c r="FR19" s="650">
        <v>100417.86000000002</v>
      </c>
      <c r="FS19" s="650">
        <v>103913.43999999997</v>
      </c>
      <c r="FT19" s="650">
        <v>282041.36900000001</v>
      </c>
      <c r="FU19" s="955">
        <v>282041.36900000001</v>
      </c>
      <c r="FV19" s="16"/>
      <c r="FW19" s="266"/>
      <c r="GZ19" s="222">
        <v>14</v>
      </c>
      <c r="HA19" s="663">
        <v>14</v>
      </c>
      <c r="HB19" s="663">
        <v>10</v>
      </c>
      <c r="HC19" s="663">
        <v>10</v>
      </c>
      <c r="HD19" s="682">
        <v>132064156</v>
      </c>
      <c r="HE19" s="682">
        <v>135102781</v>
      </c>
      <c r="HF19" s="724">
        <f t="shared" si="22"/>
        <v>1</v>
      </c>
      <c r="HG19" s="724">
        <f t="shared" si="23"/>
        <v>1.0230087034365327</v>
      </c>
      <c r="HH19" s="723">
        <v>0</v>
      </c>
      <c r="HI19" s="723">
        <v>0.8</v>
      </c>
      <c r="HJ19" s="723">
        <v>0.2</v>
      </c>
      <c r="HN19" s="243">
        <v>14</v>
      </c>
      <c r="HO19" s="891">
        <v>14</v>
      </c>
      <c r="HP19" s="793">
        <f t="shared" si="2"/>
        <v>1.0230087034365327</v>
      </c>
      <c r="HQ19" s="650">
        <v>1559</v>
      </c>
      <c r="HR19" s="794">
        <f t="shared" si="24"/>
        <v>1594.8705686575545</v>
      </c>
      <c r="HS19" s="650">
        <v>14594739</v>
      </c>
      <c r="HT19" s="975">
        <v>14929180</v>
      </c>
      <c r="HU19" s="650">
        <v>6813415.3312999997</v>
      </c>
      <c r="HV19" s="975">
        <v>7704857</v>
      </c>
      <c r="HW19" s="650">
        <v>225000</v>
      </c>
      <c r="HX19" s="955">
        <v>225000</v>
      </c>
      <c r="HY19" s="650">
        <f t="shared" si="25"/>
        <v>7039974.3312999997</v>
      </c>
      <c r="HZ19" s="650">
        <f t="shared" si="25"/>
        <v>7931451.8705686573</v>
      </c>
      <c r="IA19" s="206"/>
      <c r="IB19" s="207"/>
      <c r="IC19" s="206"/>
      <c r="ID19" s="244">
        <v>14</v>
      </c>
      <c r="IE19" s="891">
        <v>14</v>
      </c>
      <c r="IF19" s="899">
        <f t="shared" si="3"/>
        <v>1</v>
      </c>
      <c r="IG19" s="900">
        <f t="shared" si="3"/>
        <v>1.0230087034365327</v>
      </c>
      <c r="IH19" s="955">
        <v>2814805.8374684127</v>
      </c>
      <c r="II19" s="794">
        <f t="shared" si="64"/>
        <v>2879570.8702141447</v>
      </c>
      <c r="IJ19" s="955">
        <v>64094.05999999999</v>
      </c>
      <c r="IK19" s="794">
        <f t="shared" si="26"/>
        <v>65568.781218583317</v>
      </c>
      <c r="IL19" s="955">
        <v>1235568.3125315872</v>
      </c>
      <c r="IM19" s="794">
        <f t="shared" si="82"/>
        <v>1235568.3125315872</v>
      </c>
      <c r="IN19" s="955">
        <v>1503458.4280395084</v>
      </c>
      <c r="IO19" s="995">
        <v>1503458.4280395084</v>
      </c>
      <c r="IP19" s="955">
        <v>73355.464999999997</v>
      </c>
      <c r="IQ19" s="794">
        <f t="shared" si="27"/>
        <v>75043.279139633945</v>
      </c>
      <c r="IR19" s="955">
        <v>65086.974999999999</v>
      </c>
      <c r="IS19" s="794">
        <f t="shared" si="28"/>
        <v>66584.541905356018</v>
      </c>
      <c r="IT19" s="955">
        <v>265277.03000000003</v>
      </c>
      <c r="IU19" s="794">
        <f t="shared" si="29"/>
        <v>271380.7105117942</v>
      </c>
      <c r="IV19" s="955">
        <v>767825.7013999999</v>
      </c>
      <c r="IW19" s="794">
        <f t="shared" si="30"/>
        <v>785492.37525446026</v>
      </c>
      <c r="IX19" s="650">
        <f t="shared" si="31"/>
        <v>6789471.8094395082</v>
      </c>
      <c r="IY19" s="650">
        <f t="shared" si="31"/>
        <v>6882667.2988150679</v>
      </c>
      <c r="IZ19" s="683">
        <f t="shared" si="4"/>
        <v>5.0943935038724835</v>
      </c>
      <c r="JD19" s="222">
        <v>14</v>
      </c>
      <c r="JE19" s="663">
        <v>14</v>
      </c>
      <c r="JF19" s="660">
        <f t="shared" si="5"/>
        <v>10</v>
      </c>
      <c r="JG19" s="729">
        <f>JF19</f>
        <v>10</v>
      </c>
      <c r="JH19" s="905">
        <f t="shared" si="6"/>
        <v>135102781</v>
      </c>
      <c r="JI19" s="905">
        <f t="shared" si="83"/>
        <v>135373051.2580846</v>
      </c>
      <c r="JJ19" s="906">
        <f t="shared" si="33"/>
        <v>1</v>
      </c>
      <c r="JK19" s="906">
        <f t="shared" si="34"/>
        <v>1.0020004788656762</v>
      </c>
      <c r="JL19" s="906">
        <f t="shared" si="35"/>
        <v>1.0314733393784661</v>
      </c>
      <c r="JM19" s="663" t="s">
        <v>238</v>
      </c>
      <c r="JN19" s="209"/>
      <c r="JO19" s="210"/>
      <c r="JP19" s="209"/>
      <c r="JQ19" s="222">
        <v>14</v>
      </c>
      <c r="JR19" s="663">
        <v>14</v>
      </c>
      <c r="JS19" s="914" t="str">
        <f t="shared" si="7"/>
        <v>Q3</v>
      </c>
      <c r="JT19" s="913">
        <f t="shared" si="8"/>
        <v>1.0314733393784661</v>
      </c>
      <c r="JU19" s="671">
        <f t="shared" si="36"/>
        <v>1594.8705686575545</v>
      </c>
      <c r="JV19" s="671">
        <f t="shared" si="37"/>
        <v>1645.066471329641</v>
      </c>
      <c r="JW19" s="671">
        <f t="shared" si="9"/>
        <v>14929180</v>
      </c>
      <c r="JX19" s="671">
        <f t="shared" si="38"/>
        <v>14928975.912512984</v>
      </c>
      <c r="JY19" s="671">
        <f t="shared" si="10"/>
        <v>7704857</v>
      </c>
      <c r="JZ19" s="671">
        <f t="shared" si="11"/>
        <v>6711809.5105211651</v>
      </c>
      <c r="KA19" s="671">
        <f t="shared" si="39"/>
        <v>225000</v>
      </c>
      <c r="KB19" s="671">
        <f t="shared" si="40"/>
        <v>292462.70189691306</v>
      </c>
      <c r="KC19" s="671">
        <f t="shared" si="41"/>
        <v>7931451.8705686573</v>
      </c>
      <c r="KD19" s="671">
        <f t="shared" si="41"/>
        <v>7005917.2788894083</v>
      </c>
      <c r="KE19" s="211"/>
      <c r="KF19" s="210"/>
      <c r="KG19" s="209"/>
      <c r="KH19" s="245">
        <f t="shared" si="65"/>
        <v>14</v>
      </c>
      <c r="KI19" s="917">
        <v>13</v>
      </c>
      <c r="KJ19" s="918">
        <f t="shared" si="66"/>
        <v>1</v>
      </c>
      <c r="KK19" s="918">
        <f t="shared" si="66"/>
        <v>1.0020004788656762</v>
      </c>
      <c r="KL19" s="898">
        <v>1.6626666699999999</v>
      </c>
      <c r="KM19" s="801">
        <f t="shared" si="67"/>
        <v>2329165.5824375558</v>
      </c>
      <c r="KN19" s="898">
        <v>1.6626666699999999</v>
      </c>
      <c r="KO19" s="801">
        <f t="shared" si="42"/>
        <v>71344.776849117348</v>
      </c>
      <c r="KP19" s="898">
        <v>1.6626666699999999</v>
      </c>
      <c r="KQ19" s="801">
        <f t="shared" si="43"/>
        <v>1297260.6470498368</v>
      </c>
      <c r="KR19" s="898">
        <v>1.6626666699999999</v>
      </c>
      <c r="KS19" s="801">
        <f t="shared" si="68"/>
        <v>1310996.0822171902</v>
      </c>
      <c r="KT19" s="898">
        <v>1.6626666699999999</v>
      </c>
      <c r="KU19" s="801">
        <f t="shared" si="44"/>
        <v>146888.74376991336</v>
      </c>
      <c r="KV19" s="898">
        <v>1.6626666699999999</v>
      </c>
      <c r="KW19" s="801">
        <f t="shared" si="45"/>
        <v>73379.740338206131</v>
      </c>
      <c r="KX19" s="898">
        <v>1.6626666699999999</v>
      </c>
      <c r="KY19" s="801">
        <f t="shared" si="46"/>
        <v>194296.17034041756</v>
      </c>
      <c r="KZ19" s="898">
        <v>1.6626666699999999</v>
      </c>
      <c r="LA19" s="919">
        <f t="shared" si="47"/>
        <v>580737.19015185151</v>
      </c>
      <c r="LB19" s="646">
        <f t="shared" si="48"/>
        <v>5821296.5475905379</v>
      </c>
      <c r="LC19" s="646">
        <f t="shared" si="79"/>
        <v>6004068.9331540884</v>
      </c>
      <c r="LD19" s="16"/>
      <c r="LE19" s="220"/>
      <c r="LG19" s="222">
        <v>14</v>
      </c>
      <c r="LH19" s="922">
        <v>14</v>
      </c>
      <c r="LI19" s="650">
        <f t="shared" si="12"/>
        <v>7039974.3312999997</v>
      </c>
      <c r="LJ19" s="650">
        <f t="shared" si="12"/>
        <v>7931451.8705686573</v>
      </c>
      <c r="LK19" s="794">
        <f t="shared" si="13"/>
        <v>7005917.2788894083</v>
      </c>
      <c r="LL19" s="650">
        <f t="shared" si="14"/>
        <v>6789471.8094395082</v>
      </c>
      <c r="LM19" s="650">
        <f t="shared" si="14"/>
        <v>6882667.2988150679</v>
      </c>
      <c r="LN19" s="794">
        <f t="shared" si="49"/>
        <v>7099287.8225397449</v>
      </c>
      <c r="LO19" s="650">
        <f t="shared" si="50"/>
        <v>250502.52186049148</v>
      </c>
      <c r="LP19" s="650">
        <f t="shared" si="50"/>
        <v>1048784.5717535894</v>
      </c>
      <c r="LQ19" s="650">
        <f t="shared" si="50"/>
        <v>-93370.543650336564</v>
      </c>
      <c r="MA19" s="192">
        <f t="shared" si="80"/>
        <v>13</v>
      </c>
      <c r="MB19" s="814" t="s">
        <v>50</v>
      </c>
      <c r="MC19" s="860">
        <f t="shared" si="102"/>
        <v>4039492.6686239806</v>
      </c>
      <c r="MD19" s="928">
        <f t="shared" si="103"/>
        <v>0.18374188525883153</v>
      </c>
      <c r="ME19" s="796"/>
      <c r="MF19" s="798">
        <f t="shared" si="104"/>
        <v>4039492.6686239806</v>
      </c>
      <c r="MG19" s="928">
        <f t="shared" si="105"/>
        <v>0.18374188525883153</v>
      </c>
      <c r="MK19" s="192">
        <f t="shared" si="81"/>
        <v>13</v>
      </c>
      <c r="ML19" s="253" t="str">
        <f t="shared" si="53"/>
        <v>Vehicle</v>
      </c>
      <c r="MM19" s="979">
        <v>3545647.9071340258</v>
      </c>
      <c r="MN19" s="860">
        <f t="shared" si="106"/>
        <v>4039492.6686239806</v>
      </c>
      <c r="MO19" s="860">
        <f t="shared" si="70"/>
        <v>493844.76148995478</v>
      </c>
      <c r="MP19" s="802">
        <f t="shared" si="71"/>
        <v>0.13928195196604654</v>
      </c>
    </row>
    <row r="20" spans="1:357" s="29" customFormat="1" ht="16.5" x14ac:dyDescent="0.3">
      <c r="B20" s="181">
        <f t="shared" si="72"/>
        <v>15</v>
      </c>
      <c r="C20" s="251"/>
      <c r="D20" s="804" t="s">
        <v>53</v>
      </c>
      <c r="E20" s="797"/>
      <c r="F20" s="798">
        <f>FP36</f>
        <v>12400752.312759999</v>
      </c>
      <c r="G20" s="799">
        <f t="shared" si="97"/>
        <v>0.59602549136926886</v>
      </c>
      <c r="H20" s="798">
        <f>FU36</f>
        <v>12035251.726130454</v>
      </c>
      <c r="I20" s="800">
        <f t="shared" si="98"/>
        <v>0.57542797450061911</v>
      </c>
      <c r="J20" s="801">
        <f t="shared" si="54"/>
        <v>-365500.58662954532</v>
      </c>
      <c r="K20" s="798">
        <f>IW26</f>
        <v>12737461.434445117</v>
      </c>
      <c r="L20" s="800">
        <f t="shared" si="99"/>
        <v>0.58054000857238874</v>
      </c>
      <c r="M20" s="801">
        <f t="shared" si="55"/>
        <v>702209.7083146628</v>
      </c>
      <c r="N20" s="798">
        <f>LA27</f>
        <v>13195665.064952241</v>
      </c>
      <c r="O20" s="800">
        <f t="shared" si="100"/>
        <v>0.60022299213736274</v>
      </c>
      <c r="P20" s="801">
        <f t="shared" si="56"/>
        <v>458203.63050712459</v>
      </c>
      <c r="Q20" s="798">
        <f t="shared" si="57"/>
        <v>794912.75219224207</v>
      </c>
      <c r="R20" s="802">
        <f t="shared" si="58"/>
        <v>7.0424853112420749E-3</v>
      </c>
      <c r="S20" s="12"/>
      <c r="T20" s="13"/>
      <c r="U20" s="12"/>
      <c r="V20" s="165">
        <f t="shared" si="59"/>
        <v>11</v>
      </c>
      <c r="W20" s="808" t="s">
        <v>132</v>
      </c>
      <c r="X20" s="650">
        <f>X18-X14</f>
        <v>-3808482.4195359559</v>
      </c>
      <c r="Y20" s="650">
        <f t="shared" ref="Y20:AA20" si="110">Y18-Y14</f>
        <v>-5247703.8939014859</v>
      </c>
      <c r="Z20" s="650">
        <f t="shared" si="110"/>
        <v>-9454127.9521779567</v>
      </c>
      <c r="AA20" s="650">
        <f t="shared" si="110"/>
        <v>-18510314.265615396</v>
      </c>
      <c r="AB20" s="230"/>
      <c r="AC20" s="234"/>
      <c r="AD20" s="13"/>
      <c r="AE20" s="12"/>
      <c r="AF20" s="252">
        <f t="shared" si="73"/>
        <v>14</v>
      </c>
      <c r="AG20" s="814" t="s">
        <v>180</v>
      </c>
      <c r="AH20" s="815">
        <f>AH19*3600/$N$24</f>
        <v>3.0451184708403782</v>
      </c>
      <c r="AI20" s="815">
        <f>AI19*3600/$N$24</f>
        <v>0.15128923398834068</v>
      </c>
      <c r="AJ20" s="815">
        <f>AJ19*3600/$N$24</f>
        <v>0.95812547180724672</v>
      </c>
      <c r="AK20" s="12"/>
      <c r="AL20" s="299"/>
      <c r="AM20" s="12"/>
      <c r="AN20" s="192">
        <f t="shared" si="108"/>
        <v>15</v>
      </c>
      <c r="AO20" s="193"/>
      <c r="AP20" s="191" t="s">
        <v>220</v>
      </c>
      <c r="AQ20" s="7"/>
      <c r="AR20" s="195"/>
      <c r="AS20" s="255">
        <v>8347158.8556000106</v>
      </c>
      <c r="AT20" s="256">
        <v>0.81397546749984451</v>
      </c>
      <c r="AU20" s="257"/>
      <c r="AV20" s="255">
        <v>7285795.8646500036</v>
      </c>
      <c r="AW20" s="256">
        <v>0.67512429859622292</v>
      </c>
      <c r="AX20" s="250">
        <f t="shared" si="87"/>
        <v>-0.17058397267193814</v>
      </c>
      <c r="AY20" s="257"/>
      <c r="AZ20" s="255">
        <v>9252422.5520105362</v>
      </c>
      <c r="BA20" s="256">
        <v>0.71716600089519644</v>
      </c>
      <c r="BB20" s="250">
        <f t="shared" si="88"/>
        <v>6.2272536163178183E-2</v>
      </c>
      <c r="BC20" s="257"/>
      <c r="BD20" s="255">
        <v>10915527.954034619</v>
      </c>
      <c r="BE20" s="256">
        <v>0.74224448966694945</v>
      </c>
      <c r="BF20" s="250">
        <f t="shared" si="89"/>
        <v>3.4968875742086292E-2</v>
      </c>
      <c r="BG20" s="257"/>
      <c r="BH20" s="255">
        <v>3838414.9907733351</v>
      </c>
      <c r="BI20" s="256">
        <v>0.25258689065096962</v>
      </c>
      <c r="BJ20" s="250">
        <f t="shared" si="90"/>
        <v>-0.65969853038005422</v>
      </c>
      <c r="BK20" s="257"/>
      <c r="BL20" s="255">
        <v>5658223.4029922634</v>
      </c>
      <c r="BM20" s="256">
        <v>0.33637236438364621</v>
      </c>
      <c r="BN20" s="250">
        <f t="shared" si="91"/>
        <v>0.33170951000958038</v>
      </c>
      <c r="BO20" s="257"/>
      <c r="BP20" s="255">
        <v>8558427.9676000625</v>
      </c>
      <c r="BQ20" s="256">
        <v>0.46142281150297859</v>
      </c>
      <c r="BR20" s="250">
        <f t="shared" si="92"/>
        <v>0.37176195300249848</v>
      </c>
      <c r="BS20" s="257"/>
      <c r="BT20" s="29">
        <v>12790093</v>
      </c>
      <c r="BU20" s="29">
        <v>0.65</v>
      </c>
      <c r="BV20" s="29">
        <f t="shared" si="93"/>
        <v>0.40868631501501773</v>
      </c>
      <c r="BW20" s="258">
        <v>16992816.141500026</v>
      </c>
      <c r="BX20" s="259">
        <v>0.87785804171546822</v>
      </c>
      <c r="BY20" s="260">
        <f t="shared" si="60"/>
        <v>0.35055083340841264</v>
      </c>
      <c r="BZ20" s="260">
        <v>13569776.854138836</v>
      </c>
      <c r="CA20" s="260">
        <v>0.66521868747413349</v>
      </c>
      <c r="CB20" s="260">
        <f t="shared" si="61"/>
        <v>-0.24222521653478857</v>
      </c>
      <c r="CC20" s="956">
        <v>5345041.1556581259</v>
      </c>
      <c r="CD20" s="956">
        <v>0.25717234263122563</v>
      </c>
      <c r="CE20" s="802">
        <f t="shared" si="101"/>
        <v>-0.61340180684381995</v>
      </c>
      <c r="CF20" s="798">
        <f t="shared" si="109"/>
        <v>7158976.8429704905</v>
      </c>
      <c r="CG20" s="831">
        <f t="shared" si="109"/>
        <v>0.3440865991769031</v>
      </c>
      <c r="CH20" s="802">
        <f t="shared" si="95"/>
        <v>0.33796113398674787</v>
      </c>
      <c r="CI20" s="832">
        <f>CF20/AS20-1</f>
        <v>-0.14234568110949308</v>
      </c>
      <c r="CJ20" s="802">
        <f t="shared" si="96"/>
        <v>-8.4945023382365648E-3</v>
      </c>
      <c r="CK20" s="12"/>
      <c r="CL20" s="13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3"/>
      <c r="CZ20" s="12"/>
      <c r="DA20" s="287"/>
      <c r="DB20" s="12"/>
      <c r="DC20" s="12"/>
      <c r="DD20" s="12"/>
      <c r="DE20" s="12"/>
      <c r="DF20" s="12"/>
      <c r="DG20" s="12"/>
      <c r="DH20" s="12"/>
      <c r="DI20" s="13"/>
      <c r="DJ20" s="12"/>
      <c r="DK20" s="12"/>
      <c r="DL20" s="12"/>
      <c r="DM20" s="12"/>
      <c r="DN20" s="12"/>
      <c r="DO20" s="12"/>
      <c r="DP20" s="12"/>
      <c r="DQ20" s="12"/>
      <c r="DR20" s="1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3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266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66"/>
      <c r="FI20" s="12"/>
      <c r="FJ20" s="312">
        <f t="shared" si="78"/>
        <v>15</v>
      </c>
      <c r="FK20" s="318"/>
      <c r="FL20" s="319" t="s">
        <v>221</v>
      </c>
      <c r="FM20" s="320">
        <f>SUM(FM7:FM19)</f>
        <v>1384457.0804999999</v>
      </c>
      <c r="FN20" s="320">
        <f>SUM(FN7:FN19)</f>
        <v>2365134.79</v>
      </c>
      <c r="FO20" s="320">
        <f>SUM(FO7:FO19)</f>
        <v>3499048.7027100003</v>
      </c>
      <c r="FP20" s="321">
        <f t="shared" si="21"/>
        <v>7248640.5732100001</v>
      </c>
      <c r="FQ20" s="320">
        <v>1361253.4714090908</v>
      </c>
      <c r="FR20" s="320">
        <v>2221615.8199999998</v>
      </c>
      <c r="FS20" s="320">
        <v>3507529.9327099998</v>
      </c>
      <c r="FT20" s="320">
        <v>7090399.2241190914</v>
      </c>
      <c r="FU20" s="971">
        <v>7090399.2241190914</v>
      </c>
      <c r="FV20" s="16"/>
      <c r="FW20" s="266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3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3"/>
      <c r="GX20" s="12"/>
      <c r="GY20" s="12"/>
      <c r="GZ20" s="192">
        <v>15</v>
      </c>
      <c r="HA20" s="886">
        <v>15</v>
      </c>
      <c r="HB20" s="886">
        <v>10</v>
      </c>
      <c r="HC20" s="886">
        <v>10</v>
      </c>
      <c r="HD20" s="887">
        <v>151054973</v>
      </c>
      <c r="HE20" s="887">
        <v>153653848</v>
      </c>
      <c r="HF20" s="800">
        <f t="shared" si="22"/>
        <v>1</v>
      </c>
      <c r="HG20" s="800">
        <f t="shared" si="23"/>
        <v>1.0172048291319744</v>
      </c>
      <c r="HH20" s="802">
        <v>0</v>
      </c>
      <c r="HI20" s="802">
        <v>0.6</v>
      </c>
      <c r="HJ20" s="802">
        <v>0.4</v>
      </c>
      <c r="HK20" s="12"/>
      <c r="HL20" s="13"/>
      <c r="HM20" s="12"/>
      <c r="HN20" s="267">
        <v>15</v>
      </c>
      <c r="HO20" s="892">
        <v>15</v>
      </c>
      <c r="HP20" s="799">
        <f t="shared" si="2"/>
        <v>1.0172048291319744</v>
      </c>
      <c r="HQ20" s="860">
        <v>107001.53</v>
      </c>
      <c r="HR20" s="801">
        <f>HP20*HQ20</f>
        <v>108842.47304050984</v>
      </c>
      <c r="HS20" s="860">
        <v>16599582</v>
      </c>
      <c r="HT20" s="975">
        <v>16910947</v>
      </c>
      <c r="HU20" s="860">
        <v>7195326.9701999994</v>
      </c>
      <c r="HV20" s="975">
        <v>8565286</v>
      </c>
      <c r="HW20" s="860">
        <v>225000</v>
      </c>
      <c r="HX20" s="955">
        <v>225000</v>
      </c>
      <c r="HY20" s="860">
        <f t="shared" si="25"/>
        <v>7527328.5001999997</v>
      </c>
      <c r="HZ20" s="860">
        <f t="shared" si="25"/>
        <v>8899128.47304051</v>
      </c>
      <c r="IA20" s="206"/>
      <c r="IB20" s="207"/>
      <c r="IC20" s="206"/>
      <c r="ID20" s="208">
        <v>15</v>
      </c>
      <c r="IE20" s="892">
        <v>15</v>
      </c>
      <c r="IF20" s="896">
        <f t="shared" si="3"/>
        <v>1</v>
      </c>
      <c r="IG20" s="897">
        <f t="shared" si="3"/>
        <v>1.0172048291319744</v>
      </c>
      <c r="IH20" s="955">
        <v>2939270.0717588281</v>
      </c>
      <c r="II20" s="801">
        <f t="shared" si="64"/>
        <v>2989839.7111161649</v>
      </c>
      <c r="IJ20" s="955">
        <v>164458.5644</v>
      </c>
      <c r="IK20" s="801">
        <f t="shared" si="26"/>
        <v>167288.04589979182</v>
      </c>
      <c r="IL20" s="955">
        <v>1239730.2338411715</v>
      </c>
      <c r="IM20" s="801">
        <f t="shared" si="82"/>
        <v>1239730.2338411715</v>
      </c>
      <c r="IN20" s="955">
        <v>1823650.9582650054</v>
      </c>
      <c r="IO20" s="995">
        <v>1823650.9582650054</v>
      </c>
      <c r="IP20" s="955">
        <v>148263.52149999997</v>
      </c>
      <c r="IQ20" s="801">
        <f t="shared" si="27"/>
        <v>150814.37005391228</v>
      </c>
      <c r="IR20" s="955">
        <v>61819.527166666667</v>
      </c>
      <c r="IS20" s="801">
        <f t="shared" si="28"/>
        <v>62883.12156858862</v>
      </c>
      <c r="IT20" s="955">
        <v>308605.27999999997</v>
      </c>
      <c r="IU20" s="801">
        <f t="shared" si="29"/>
        <v>313914.78111162508</v>
      </c>
      <c r="IV20" s="955">
        <v>575127.48739999998</v>
      </c>
      <c r="IW20" s="801">
        <f t="shared" si="30"/>
        <v>585022.45754981879</v>
      </c>
      <c r="IX20" s="860">
        <f t="shared" si="31"/>
        <v>7260925.6443316713</v>
      </c>
      <c r="IY20" s="860">
        <f t="shared" si="31"/>
        <v>7333143.6794060785</v>
      </c>
      <c r="IZ20" s="898">
        <f t="shared" si="4"/>
        <v>4.7725089705570403</v>
      </c>
      <c r="JA20" s="12"/>
      <c r="JB20" s="13"/>
      <c r="JC20" s="12"/>
      <c r="JD20" s="192">
        <v>15</v>
      </c>
      <c r="JE20" s="886">
        <v>15</v>
      </c>
      <c r="JF20" s="796">
        <f t="shared" si="5"/>
        <v>10</v>
      </c>
      <c r="JG20" s="804">
        <f>JF20</f>
        <v>10</v>
      </c>
      <c r="JH20" s="859">
        <f t="shared" si="6"/>
        <v>153653848</v>
      </c>
      <c r="JI20" s="859">
        <f t="shared" si="83"/>
        <v>153961229.27555382</v>
      </c>
      <c r="JJ20" s="904">
        <f t="shared" si="33"/>
        <v>1</v>
      </c>
      <c r="JK20" s="904">
        <f t="shared" si="34"/>
        <v>1.0020004788656762</v>
      </c>
      <c r="JL20" s="904">
        <f t="shared" si="35"/>
        <v>1.0452632325181213</v>
      </c>
      <c r="JM20" s="886" t="s">
        <v>425</v>
      </c>
      <c r="JN20" s="209"/>
      <c r="JO20" s="210"/>
      <c r="JP20" s="209"/>
      <c r="JQ20" s="192">
        <v>15</v>
      </c>
      <c r="JR20" s="886">
        <v>15</v>
      </c>
      <c r="JS20" s="910" t="str">
        <f t="shared" si="7"/>
        <v>Q2</v>
      </c>
      <c r="JT20" s="911">
        <f t="shared" si="8"/>
        <v>1.0452632325181213</v>
      </c>
      <c r="JU20" s="860">
        <f t="shared" si="36"/>
        <v>108842.47304050984</v>
      </c>
      <c r="JV20" s="860">
        <f t="shared" si="37"/>
        <v>113769.03520558978</v>
      </c>
      <c r="JW20" s="860">
        <f t="shared" si="9"/>
        <v>16910947</v>
      </c>
      <c r="JX20" s="860">
        <f t="shared" si="38"/>
        <v>16978885.102719918</v>
      </c>
      <c r="JY20" s="860">
        <f t="shared" si="10"/>
        <v>8565286</v>
      </c>
      <c r="JZ20" s="860">
        <f t="shared" si="11"/>
        <v>7633413.2480557421</v>
      </c>
      <c r="KA20" s="860">
        <f t="shared" si="39"/>
        <v>225000</v>
      </c>
      <c r="KB20" s="860">
        <f t="shared" si="40"/>
        <v>332620.98093256564</v>
      </c>
      <c r="KC20" s="860">
        <f t="shared" si="41"/>
        <v>8899128.47304051</v>
      </c>
      <c r="KD20" s="860">
        <f t="shared" si="41"/>
        <v>8079803.2641938971</v>
      </c>
      <c r="KE20" s="211"/>
      <c r="KF20" s="210"/>
      <c r="KG20" s="209"/>
      <c r="KH20" s="243">
        <f t="shared" si="65"/>
        <v>15</v>
      </c>
      <c r="KI20" s="891">
        <v>14</v>
      </c>
      <c r="KJ20" s="920">
        <f t="shared" si="66"/>
        <v>1</v>
      </c>
      <c r="KK20" s="920">
        <f t="shared" si="66"/>
        <v>1.0020004788656762</v>
      </c>
      <c r="KL20" s="683">
        <v>1.6626666699999999</v>
      </c>
      <c r="KM20" s="794">
        <f t="shared" si="67"/>
        <v>2972562.3455185615</v>
      </c>
      <c r="KN20" s="683">
        <v>1.6626666699999999</v>
      </c>
      <c r="KO20" s="794">
        <f t="shared" si="42"/>
        <v>67686.227870964256</v>
      </c>
      <c r="KP20" s="683">
        <v>1.6626666699999999</v>
      </c>
      <c r="KQ20" s="794">
        <f t="shared" si="43"/>
        <v>1272922.7057777585</v>
      </c>
      <c r="KR20" s="683">
        <v>1.6626666699999999</v>
      </c>
      <c r="KS20" s="794">
        <f t="shared" si="68"/>
        <v>1548911.8252986118</v>
      </c>
      <c r="KT20" s="683">
        <v>1.6626666699999999</v>
      </c>
      <c r="KU20" s="794">
        <f t="shared" si="44"/>
        <v>77466.690666351031</v>
      </c>
      <c r="KV20" s="683">
        <v>1.6626666699999999</v>
      </c>
      <c r="KW20" s="794">
        <f t="shared" si="45"/>
        <v>68734.791044314465</v>
      </c>
      <c r="KX20" s="683">
        <v>1.6626666699999999</v>
      </c>
      <c r="KY20" s="794">
        <f t="shared" si="46"/>
        <v>280144.54851998173</v>
      </c>
      <c r="KZ20" s="683">
        <v>1.6626666699999999</v>
      </c>
      <c r="LA20" s="794">
        <f t="shared" si="47"/>
        <v>810858.6878432004</v>
      </c>
      <c r="LB20" s="650">
        <f t="shared" si="48"/>
        <v>6882667.2988150679</v>
      </c>
      <c r="LC20" s="650">
        <f t="shared" si="79"/>
        <v>7099287.8225397449</v>
      </c>
      <c r="LD20" s="16"/>
      <c r="LE20" s="220"/>
      <c r="LF20" s="12"/>
      <c r="LG20" s="192">
        <v>15</v>
      </c>
      <c r="LH20" s="921">
        <v>15</v>
      </c>
      <c r="LI20" s="860">
        <f t="shared" si="12"/>
        <v>7527328.5001999997</v>
      </c>
      <c r="LJ20" s="860">
        <f t="shared" si="12"/>
        <v>8899128.47304051</v>
      </c>
      <c r="LK20" s="801">
        <f t="shared" si="13"/>
        <v>8079803.2641938971</v>
      </c>
      <c r="LL20" s="860">
        <f t="shared" si="14"/>
        <v>7260925.6443316713</v>
      </c>
      <c r="LM20" s="860">
        <f t="shared" si="14"/>
        <v>7333143.6794060785</v>
      </c>
      <c r="LN20" s="801">
        <f t="shared" si="49"/>
        <v>7665065.4668558277</v>
      </c>
      <c r="LO20" s="860">
        <f t="shared" si="50"/>
        <v>266402.85586832836</v>
      </c>
      <c r="LP20" s="860">
        <f t="shared" si="50"/>
        <v>1565984.7936344314</v>
      </c>
      <c r="LQ20" s="860">
        <f t="shared" si="50"/>
        <v>414737.79733806942</v>
      </c>
      <c r="LR20" s="12"/>
      <c r="LS20" s="13"/>
      <c r="LT20" s="12"/>
      <c r="LU20" s="12"/>
      <c r="LV20" s="12"/>
      <c r="LW20" s="12"/>
      <c r="LX20" s="12"/>
      <c r="LY20" s="13"/>
      <c r="LZ20" s="12"/>
      <c r="MA20" s="293">
        <f t="shared" si="80"/>
        <v>14</v>
      </c>
      <c r="MB20" s="816" t="s">
        <v>53</v>
      </c>
      <c r="MC20" s="929">
        <f t="shared" si="102"/>
        <v>13195665.064952241</v>
      </c>
      <c r="MD20" s="930">
        <f t="shared" si="103"/>
        <v>0.60022299213736274</v>
      </c>
      <c r="ME20" s="839"/>
      <c r="MF20" s="931">
        <f t="shared" si="104"/>
        <v>13195665.064952241</v>
      </c>
      <c r="MG20" s="930">
        <f t="shared" si="105"/>
        <v>0.60022299213736274</v>
      </c>
      <c r="MH20" s="12"/>
      <c r="MI20" s="13"/>
      <c r="MJ20" s="12"/>
      <c r="MK20" s="293">
        <f t="shared" si="81"/>
        <v>14</v>
      </c>
      <c r="ML20" s="272" t="str">
        <f t="shared" si="53"/>
        <v>Overhead</v>
      </c>
      <c r="MM20" s="980">
        <v>10556442.680443538</v>
      </c>
      <c r="MN20" s="929">
        <f t="shared" si="106"/>
        <v>13195665.064952241</v>
      </c>
      <c r="MO20" s="929">
        <f t="shared" si="70"/>
        <v>2639222.3845087029</v>
      </c>
      <c r="MP20" s="940">
        <f t="shared" si="71"/>
        <v>0.25001058257987091</v>
      </c>
      <c r="MQ20" s="12"/>
      <c r="MR20" s="13"/>
      <c r="MS20" s="12"/>
    </row>
    <row r="21" spans="1:357" ht="17.25" thickBot="1" x14ac:dyDescent="0.35">
      <c r="A21" s="5"/>
      <c r="B21" s="143">
        <f t="shared" si="72"/>
        <v>16</v>
      </c>
      <c r="C21" s="307" t="s">
        <v>222</v>
      </c>
      <c r="D21" s="307"/>
      <c r="E21" s="308"/>
      <c r="F21" s="322">
        <f>SUM(F14:F20)</f>
        <v>104216563.686424</v>
      </c>
      <c r="G21" s="323">
        <f t="shared" si="97"/>
        <v>5.0090290502861157</v>
      </c>
      <c r="H21" s="322">
        <f>SUM(H14:H20)</f>
        <v>101285634.88093203</v>
      </c>
      <c r="I21" s="324">
        <f t="shared" si="98"/>
        <v>4.842656310960507</v>
      </c>
      <c r="J21" s="325">
        <f t="shared" si="54"/>
        <v>-2930928.805491969</v>
      </c>
      <c r="K21" s="322">
        <f>SUM(K14:K20)</f>
        <v>106424488.89034145</v>
      </c>
      <c r="L21" s="324">
        <f t="shared" si="99"/>
        <v>4.8505484401808046</v>
      </c>
      <c r="M21" s="325">
        <f t="shared" si="55"/>
        <v>5138854.0094094127</v>
      </c>
      <c r="N21" s="322">
        <f>SUM(N14:N20)</f>
        <v>110014126.44146076</v>
      </c>
      <c r="O21" s="324">
        <f t="shared" si="100"/>
        <v>5.0041439991877166</v>
      </c>
      <c r="P21" s="325">
        <f t="shared" si="56"/>
        <v>3589637.5511193126</v>
      </c>
      <c r="Q21" s="322">
        <f t="shared" si="57"/>
        <v>5797562.7550367564</v>
      </c>
      <c r="R21" s="326">
        <f t="shared" si="58"/>
        <v>-9.7524910503765661E-4</v>
      </c>
      <c r="V21" s="185"/>
      <c r="W21" s="186" t="s">
        <v>27</v>
      </c>
      <c r="X21" s="269"/>
      <c r="Y21" s="270"/>
      <c r="Z21" s="270"/>
      <c r="AA21" s="270"/>
      <c r="AB21" s="189"/>
      <c r="AC21" s="236"/>
      <c r="AF21" s="327">
        <f t="shared" si="73"/>
        <v>15</v>
      </c>
      <c r="AG21" s="819" t="s">
        <v>187</v>
      </c>
      <c r="AH21" s="820">
        <f>KM27/AH19</f>
        <v>21.590915581797404</v>
      </c>
      <c r="AI21" s="820">
        <f>KO27/AI19</f>
        <v>21.624578811329847</v>
      </c>
      <c r="AJ21" s="820">
        <f>KQ27/AJ19</f>
        <v>32.768848092605424</v>
      </c>
      <c r="AL21" s="299"/>
      <c r="AN21" s="1055" t="s">
        <v>223</v>
      </c>
      <c r="AO21" s="1055"/>
      <c r="AP21" s="1055"/>
      <c r="AQ21" s="1055"/>
      <c r="AR21" s="1055"/>
      <c r="AS21" s="1055"/>
      <c r="AT21" s="1055"/>
      <c r="AU21" s="1055"/>
      <c r="AV21" s="1055"/>
      <c r="AW21" s="1055"/>
      <c r="AX21" s="1055"/>
      <c r="AY21" s="1055"/>
      <c r="AZ21" s="1055"/>
      <c r="BA21" s="1055"/>
      <c r="BB21" s="1055"/>
      <c r="BC21" s="1055"/>
      <c r="BD21" s="1055"/>
      <c r="BE21" s="1055"/>
      <c r="BF21" s="1055"/>
      <c r="BG21" s="1055"/>
      <c r="BH21" s="1055"/>
      <c r="BI21" s="1055"/>
      <c r="BJ21" s="1055"/>
      <c r="BK21" s="1055"/>
      <c r="BL21" s="1055"/>
      <c r="BM21" s="1055"/>
      <c r="BN21" s="1055"/>
      <c r="BO21" s="1055"/>
      <c r="BP21" s="1055"/>
      <c r="BQ21" s="1055"/>
      <c r="BR21" s="1055"/>
      <c r="BS21" s="1055"/>
      <c r="BT21" s="1056"/>
      <c r="BU21" s="1056"/>
      <c r="BV21" s="1056"/>
      <c r="BW21" s="1056"/>
      <c r="BX21" s="1056"/>
      <c r="BY21" s="1056"/>
      <c r="BZ21" s="1056"/>
      <c r="CA21" s="1056"/>
      <c r="CB21" s="1056"/>
      <c r="CC21" s="1056"/>
      <c r="CD21" s="1056"/>
      <c r="CE21" s="1056"/>
      <c r="CF21" s="1056"/>
      <c r="CG21" s="1056"/>
      <c r="CH21" s="1056"/>
      <c r="CI21" s="1055"/>
      <c r="CJ21" s="1055"/>
      <c r="DA21" s="287"/>
      <c r="DD21" s="12"/>
      <c r="DU21" s="12"/>
      <c r="DV21" s="12"/>
      <c r="DW21" s="12"/>
      <c r="DX21" s="12"/>
      <c r="DY21" s="12"/>
      <c r="ER21" s="266"/>
      <c r="FH21" s="266"/>
      <c r="FJ21" s="222">
        <f t="shared" si="78"/>
        <v>16</v>
      </c>
      <c r="FK21" s="15" t="s">
        <v>224</v>
      </c>
      <c r="FL21" s="308"/>
      <c r="FM21" s="329"/>
      <c r="FN21" s="329"/>
      <c r="FO21" s="329"/>
      <c r="FP21" s="330"/>
      <c r="FQ21" s="329"/>
      <c r="FR21" s="329"/>
      <c r="FS21" s="329"/>
      <c r="FT21" s="329"/>
      <c r="FU21" s="329"/>
      <c r="FV21" s="16"/>
      <c r="FW21" s="266"/>
      <c r="GZ21" s="222">
        <v>16</v>
      </c>
      <c r="HA21" s="663">
        <v>16</v>
      </c>
      <c r="HB21" s="663">
        <v>10</v>
      </c>
      <c r="HC21" s="663">
        <v>10</v>
      </c>
      <c r="HD21" s="682">
        <v>161434968</v>
      </c>
      <c r="HE21" s="682">
        <v>163801024</v>
      </c>
      <c r="HF21" s="724">
        <f t="shared" si="22"/>
        <v>1</v>
      </c>
      <c r="HG21" s="724">
        <f t="shared" si="23"/>
        <v>1.0146564033140577</v>
      </c>
      <c r="HH21" s="723">
        <v>0</v>
      </c>
      <c r="HI21" s="723">
        <v>0.5</v>
      </c>
      <c r="HJ21" s="723">
        <v>0.5</v>
      </c>
      <c r="HN21" s="243">
        <v>16</v>
      </c>
      <c r="HO21" s="891">
        <v>16</v>
      </c>
      <c r="HP21" s="793">
        <f t="shared" si="2"/>
        <v>1.0146564033140577</v>
      </c>
      <c r="HQ21" s="650">
        <v>39583.630000000005</v>
      </c>
      <c r="HR21" s="794">
        <f t="shared" si="24"/>
        <v>40163.783645914438</v>
      </c>
      <c r="HS21" s="650">
        <v>17950787</v>
      </c>
      <c r="HT21" s="975">
        <v>18206967</v>
      </c>
      <c r="HU21" s="650">
        <v>8597440.1903000008</v>
      </c>
      <c r="HV21" s="975">
        <v>9402320</v>
      </c>
      <c r="HW21" s="650">
        <v>225000</v>
      </c>
      <c r="HX21" s="955">
        <v>225000</v>
      </c>
      <c r="HY21" s="650">
        <f t="shared" si="25"/>
        <v>8862023.8203000017</v>
      </c>
      <c r="HZ21" s="650">
        <f t="shared" si="25"/>
        <v>9667483.7836459149</v>
      </c>
      <c r="IA21" s="206"/>
      <c r="IB21" s="207"/>
      <c r="IC21" s="206"/>
      <c r="ID21" s="244">
        <v>16</v>
      </c>
      <c r="IE21" s="891">
        <v>16</v>
      </c>
      <c r="IF21" s="899">
        <f t="shared" si="3"/>
        <v>1</v>
      </c>
      <c r="IG21" s="900">
        <f t="shared" si="3"/>
        <v>1.0146564033140577</v>
      </c>
      <c r="IH21" s="955">
        <v>2733563.4377292385</v>
      </c>
      <c r="II21" s="794">
        <f t="shared" si="64"/>
        <v>2773627.6459571603</v>
      </c>
      <c r="IJ21" s="955">
        <v>60011.618999999992</v>
      </c>
      <c r="IK21" s="794">
        <f t="shared" si="26"/>
        <v>60891.173491593559</v>
      </c>
      <c r="IL21" s="955">
        <v>1492298.6492707615</v>
      </c>
      <c r="IM21" s="794">
        <f t="shared" si="82"/>
        <v>1492298.6492707615</v>
      </c>
      <c r="IN21" s="955">
        <v>1885780.2045426611</v>
      </c>
      <c r="IO21" s="995">
        <v>1885780.2045426611</v>
      </c>
      <c r="IP21" s="955">
        <v>135685.57333333336</v>
      </c>
      <c r="IQ21" s="794">
        <f t="shared" si="27"/>
        <v>137674.23582000585</v>
      </c>
      <c r="IR21" s="955">
        <v>52965.553333333351</v>
      </c>
      <c r="IS21" s="794">
        <f t="shared" si="28"/>
        <v>53741.837844738919</v>
      </c>
      <c r="IT21" s="955">
        <v>1053043.42</v>
      </c>
      <c r="IU21" s="794">
        <f t="shared" si="29"/>
        <v>1068477.2490707345</v>
      </c>
      <c r="IV21" s="955">
        <v>917174.10305000003</v>
      </c>
      <c r="IW21" s="794">
        <f t="shared" si="30"/>
        <v>930616.57661350991</v>
      </c>
      <c r="IX21" s="650">
        <f t="shared" si="31"/>
        <v>8330522.5602593282</v>
      </c>
      <c r="IY21" s="650">
        <f t="shared" si="31"/>
        <v>8403107.5726111662</v>
      </c>
      <c r="IZ21" s="683">
        <f t="shared" si="4"/>
        <v>5.1300702324126899</v>
      </c>
      <c r="JD21" s="222">
        <v>16</v>
      </c>
      <c r="JE21" s="663">
        <v>16</v>
      </c>
      <c r="JF21" s="660">
        <f t="shared" si="5"/>
        <v>10</v>
      </c>
      <c r="JG21" s="729">
        <f>JF21</f>
        <v>10</v>
      </c>
      <c r="JH21" s="905">
        <f t="shared" si="6"/>
        <v>163801024</v>
      </c>
      <c r="JI21" s="905">
        <f t="shared" si="83"/>
        <v>164128704.48668814</v>
      </c>
      <c r="JJ21" s="906">
        <f t="shared" si="33"/>
        <v>1</v>
      </c>
      <c r="JK21" s="906">
        <f t="shared" si="34"/>
        <v>1.0020004788656762</v>
      </c>
      <c r="JL21" s="906">
        <f t="shared" si="35"/>
        <v>1.0314650059826171</v>
      </c>
      <c r="JM21" s="663" t="s">
        <v>238</v>
      </c>
      <c r="JN21" s="209"/>
      <c r="JO21" s="210"/>
      <c r="JP21" s="209"/>
      <c r="JQ21" s="222">
        <v>16</v>
      </c>
      <c r="JR21" s="663">
        <v>16</v>
      </c>
      <c r="JS21" s="914" t="str">
        <f t="shared" si="7"/>
        <v>Q3</v>
      </c>
      <c r="JT21" s="913">
        <f t="shared" si="8"/>
        <v>1.0314650059826171</v>
      </c>
      <c r="JU21" s="671">
        <f t="shared" si="36"/>
        <v>40163.783645914438</v>
      </c>
      <c r="JV21" s="671">
        <f t="shared" si="37"/>
        <v>41427.53733861768</v>
      </c>
      <c r="JW21" s="671">
        <f t="shared" si="9"/>
        <v>18206967</v>
      </c>
      <c r="JX21" s="671">
        <f t="shared" si="38"/>
        <v>18100156.959322408</v>
      </c>
      <c r="JY21" s="671">
        <f t="shared" si="10"/>
        <v>9402320</v>
      </c>
      <c r="JZ21" s="671">
        <f t="shared" si="11"/>
        <v>8137517.6926691514</v>
      </c>
      <c r="KA21" s="671">
        <f t="shared" si="39"/>
        <v>225000</v>
      </c>
      <c r="KB21" s="671">
        <f t="shared" si="40"/>
        <v>354587.00182138442</v>
      </c>
      <c r="KC21" s="671">
        <f t="shared" si="41"/>
        <v>9667483.7836459149</v>
      </c>
      <c r="KD21" s="671">
        <f t="shared" si="41"/>
        <v>8533532.2318291534</v>
      </c>
      <c r="KE21" s="211"/>
      <c r="KF21" s="210"/>
      <c r="KG21" s="209"/>
      <c r="KH21" s="245">
        <f t="shared" si="65"/>
        <v>16</v>
      </c>
      <c r="KI21" s="917">
        <v>15</v>
      </c>
      <c r="KJ21" s="918">
        <f t="shared" si="66"/>
        <v>1</v>
      </c>
      <c r="KK21" s="918">
        <f t="shared" si="66"/>
        <v>1.0020004788656762</v>
      </c>
      <c r="KL21" s="898">
        <v>1.6406666700000001</v>
      </c>
      <c r="KM21" s="801">
        <f t="shared" si="67"/>
        <v>3127778.1532140938</v>
      </c>
      <c r="KN21" s="898">
        <v>1.6406666700000001</v>
      </c>
      <c r="KO21" s="801">
        <f t="shared" si="42"/>
        <v>175006.00226622517</v>
      </c>
      <c r="KP21" s="898">
        <v>1.6406666700000001</v>
      </c>
      <c r="KQ21" s="801">
        <f t="shared" si="43"/>
        <v>1294336.8016079334</v>
      </c>
      <c r="KR21" s="898">
        <v>1.6406666700000001</v>
      </c>
      <c r="KS21" s="801">
        <f t="shared" si="68"/>
        <v>1903977.5623253663</v>
      </c>
      <c r="KT21" s="898">
        <v>1.6406666700000001</v>
      </c>
      <c r="KU21" s="801">
        <f t="shared" si="44"/>
        <v>157772.3013349344</v>
      </c>
      <c r="KV21" s="898">
        <v>1.6406666700000001</v>
      </c>
      <c r="KW21" s="801">
        <f t="shared" si="45"/>
        <v>65784.280380272088</v>
      </c>
      <c r="KX21" s="898">
        <v>1.6406666700000001</v>
      </c>
      <c r="KY21" s="801">
        <f t="shared" si="46"/>
        <v>328397.46916244546</v>
      </c>
      <c r="KZ21" s="898">
        <v>1.6406666700000001</v>
      </c>
      <c r="LA21" s="919">
        <f t="shared" si="47"/>
        <v>612012.89656455722</v>
      </c>
      <c r="LB21" s="646">
        <f t="shared" si="48"/>
        <v>7333143.6794060785</v>
      </c>
      <c r="LC21" s="646">
        <f t="shared" si="79"/>
        <v>7665065.4668558277</v>
      </c>
      <c r="LD21" s="16"/>
      <c r="LE21" s="220"/>
      <c r="LG21" s="222">
        <v>16</v>
      </c>
      <c r="LH21" s="922">
        <v>16</v>
      </c>
      <c r="LI21" s="650">
        <f t="shared" si="12"/>
        <v>8862023.8203000017</v>
      </c>
      <c r="LJ21" s="650">
        <f t="shared" si="12"/>
        <v>9667483.7836459149</v>
      </c>
      <c r="LK21" s="794">
        <f t="shared" si="13"/>
        <v>8533532.2318291534</v>
      </c>
      <c r="LL21" s="650">
        <f t="shared" si="14"/>
        <v>8330522.5602593282</v>
      </c>
      <c r="LM21" s="650">
        <f t="shared" si="14"/>
        <v>8403107.5726111662</v>
      </c>
      <c r="LN21" s="794">
        <f t="shared" si="49"/>
        <v>8667511.4026559517</v>
      </c>
      <c r="LO21" s="650">
        <f t="shared" si="50"/>
        <v>531501.26004067343</v>
      </c>
      <c r="LP21" s="650">
        <f t="shared" si="50"/>
        <v>1264376.2110347487</v>
      </c>
      <c r="LQ21" s="650">
        <f t="shared" si="50"/>
        <v>-133979.1708267983</v>
      </c>
      <c r="MA21" s="192">
        <f t="shared" si="80"/>
        <v>15</v>
      </c>
      <c r="MB21" s="194" t="s">
        <v>59</v>
      </c>
      <c r="MC21" s="320">
        <f t="shared" si="102"/>
        <v>110014126.44146076</v>
      </c>
      <c r="MD21" s="331">
        <f t="shared" si="103"/>
        <v>5.0041439991877166</v>
      </c>
      <c r="ME21" s="194"/>
      <c r="MF21" s="332">
        <f>SUM(MF14:MF20)</f>
        <v>110014126.44146076</v>
      </c>
      <c r="MG21" s="331">
        <f t="shared" si="105"/>
        <v>5.0041439991877166</v>
      </c>
      <c r="MK21" s="192">
        <f t="shared" si="81"/>
        <v>15</v>
      </c>
      <c r="ML21" s="194" t="str">
        <f t="shared" si="53"/>
        <v>Total Operating Expenses</v>
      </c>
      <c r="MM21" s="981">
        <v>93608877.605802789</v>
      </c>
      <c r="MN21" s="333">
        <f t="shared" si="106"/>
        <v>110014126.44146076</v>
      </c>
      <c r="MO21" s="333">
        <f t="shared" si="70"/>
        <v>16405248.835657969</v>
      </c>
      <c r="MP21" s="945">
        <f t="shared" si="71"/>
        <v>0.17525313042147844</v>
      </c>
    </row>
    <row r="22" spans="1:357" s="29" customFormat="1" ht="16.5" x14ac:dyDescent="0.3">
      <c r="A22" s="7"/>
      <c r="B22" s="181">
        <f t="shared" si="72"/>
        <v>17</v>
      </c>
      <c r="C22" s="194" t="s">
        <v>220</v>
      </c>
      <c r="D22" s="194"/>
      <c r="E22" s="199"/>
      <c r="F22" s="332">
        <f>F12-F21</f>
        <v>7158976.8429704905</v>
      </c>
      <c r="G22" s="334">
        <f t="shared" si="97"/>
        <v>0.3440865991769031</v>
      </c>
      <c r="H22" s="332">
        <f>H12-H21</f>
        <v>5069183.3865407258</v>
      </c>
      <c r="I22" s="335">
        <f t="shared" si="98"/>
        <v>0.24236717227577007</v>
      </c>
      <c r="J22" s="321">
        <f t="shared" si="54"/>
        <v>-2089793.4564297646</v>
      </c>
      <c r="K22" s="332">
        <f>K12-K21</f>
        <v>22581473.325630128</v>
      </c>
      <c r="L22" s="335">
        <f t="shared" si="99"/>
        <v>1.0292041931202573</v>
      </c>
      <c r="M22" s="321">
        <f t="shared" si="55"/>
        <v>17512289.939089403</v>
      </c>
      <c r="N22" s="332">
        <f>N12-N21</f>
        <v>4071159.0600146949</v>
      </c>
      <c r="O22" s="335">
        <f t="shared" si="100"/>
        <v>0.18518227466680534</v>
      </c>
      <c r="P22" s="321">
        <f t="shared" si="56"/>
        <v>-18510314.265615433</v>
      </c>
      <c r="Q22" s="332">
        <f t="shared" si="57"/>
        <v>-3087817.7829557955</v>
      </c>
      <c r="R22" s="336">
        <f t="shared" si="58"/>
        <v>-0.46181491778586026</v>
      </c>
      <c r="S22" s="12"/>
      <c r="T22" s="13"/>
      <c r="U22" s="12"/>
      <c r="V22" s="337">
        <v>11</v>
      </c>
      <c r="W22" s="809" t="s">
        <v>225</v>
      </c>
      <c r="X22" s="650">
        <f>X18-X7</f>
        <v>-3874859.5282565639</v>
      </c>
      <c r="Y22" s="650">
        <f>Y18-Y7</f>
        <v>-2310419.3666010238</v>
      </c>
      <c r="Z22" s="650">
        <f>Z18-Z7</f>
        <v>3097460.8419017792</v>
      </c>
      <c r="AA22" s="650">
        <f>AA18-AA7</f>
        <v>-3087818.052955809</v>
      </c>
      <c r="AB22" s="230"/>
      <c r="AC22" s="12"/>
      <c r="AD22" s="13"/>
      <c r="AE22" s="12"/>
      <c r="AF22" s="12"/>
      <c r="AG22" s="12"/>
      <c r="AH22" s="12"/>
      <c r="AI22" s="12"/>
      <c r="AJ22" s="12"/>
      <c r="AK22" s="12"/>
      <c r="AL22" s="299"/>
      <c r="AM22" s="12"/>
      <c r="AN22" s="222">
        <v>18</v>
      </c>
      <c r="AO22" s="2"/>
      <c r="AP22" s="317" t="s">
        <v>226</v>
      </c>
      <c r="AQ22" s="5"/>
      <c r="AR22" s="240"/>
      <c r="AS22" s="338"/>
      <c r="AT22" s="234">
        <v>1025480397</v>
      </c>
      <c r="AU22" s="236"/>
      <c r="AV22" s="338"/>
      <c r="AW22" s="234">
        <v>1079178438.6666701</v>
      </c>
      <c r="AX22" s="236"/>
      <c r="AY22" s="235"/>
      <c r="AZ22" s="338"/>
      <c r="BA22" s="234">
        <v>1290136807.9999998</v>
      </c>
      <c r="BB22" s="236"/>
      <c r="BC22" s="235"/>
      <c r="BD22" s="338"/>
      <c r="BE22" s="234">
        <v>1470610844</v>
      </c>
      <c r="BF22" s="236"/>
      <c r="BG22" s="235"/>
      <c r="BH22" s="338"/>
      <c r="BI22" s="234">
        <v>1519641411.6666667</v>
      </c>
      <c r="BJ22" s="236"/>
      <c r="BK22" s="235"/>
      <c r="BL22" s="338"/>
      <c r="BM22" s="234">
        <v>1682130877</v>
      </c>
      <c r="BN22" s="236"/>
      <c r="BO22" s="235"/>
      <c r="BP22" s="338"/>
      <c r="BQ22" s="234">
        <v>1854790824</v>
      </c>
      <c r="BR22" s="236"/>
      <c r="BS22" s="235"/>
      <c r="BT22" s="1057">
        <v>1962055288</v>
      </c>
      <c r="BU22" s="1057"/>
      <c r="BV22" s="1057"/>
      <c r="BW22" s="339"/>
      <c r="BX22" s="12"/>
      <c r="BY22" s="12"/>
      <c r="BZ22" s="340"/>
      <c r="CA22" s="240"/>
      <c r="CB22" s="12"/>
      <c r="CC22" s="959">
        <v>2078388796</v>
      </c>
      <c r="CD22" s="824"/>
      <c r="CE22" s="723"/>
      <c r="CF22" s="853">
        <f>F24</f>
        <v>2080574152</v>
      </c>
      <c r="CG22" s="824"/>
      <c r="CH22" s="723"/>
      <c r="CI22" s="854">
        <f>CF22/AT22-1</f>
        <v>1.0288775466470472</v>
      </c>
      <c r="CJ22" s="723">
        <f>(CI22+1)^(1/(2022-2004))-1</f>
        <v>4.0087240631794696E-2</v>
      </c>
      <c r="CK22" s="12"/>
      <c r="CL22" s="13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3"/>
      <c r="CZ22" s="12"/>
      <c r="DA22" s="12"/>
      <c r="DB22" s="12"/>
      <c r="DC22" s="12"/>
      <c r="DD22" s="12"/>
      <c r="DE22" s="12"/>
      <c r="DF22" s="12"/>
      <c r="DG22" s="16"/>
      <c r="DH22" s="12"/>
      <c r="DI22" s="13"/>
      <c r="DJ22" s="12"/>
      <c r="DK22" s="12"/>
      <c r="DL22" s="12"/>
      <c r="DM22" s="12"/>
      <c r="DN22" s="16"/>
      <c r="DO22" s="12"/>
      <c r="DP22" s="12"/>
      <c r="DQ22" s="12"/>
      <c r="DR22" s="13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3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20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20"/>
      <c r="FI22" s="12"/>
      <c r="FJ22" s="192">
        <f>FJ21+1</f>
        <v>17</v>
      </c>
      <c r="FK22" s="310"/>
      <c r="FL22" s="879" t="s">
        <v>227</v>
      </c>
      <c r="FM22" s="880">
        <v>19302.772499999999</v>
      </c>
      <c r="FN22" s="880">
        <v>12055</v>
      </c>
      <c r="FO22" s="880">
        <v>17639.830000000002</v>
      </c>
      <c r="FP22" s="881">
        <f>FM22+FO22+FN22</f>
        <v>48997.602500000001</v>
      </c>
      <c r="FQ22" s="880">
        <v>0</v>
      </c>
      <c r="FR22" s="880">
        <v>0</v>
      </c>
      <c r="FS22" s="880">
        <v>0</v>
      </c>
      <c r="FT22" s="880">
        <v>0</v>
      </c>
      <c r="FU22" s="955">
        <v>0</v>
      </c>
      <c r="FV22" s="730"/>
      <c r="FW22" s="266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3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3"/>
      <c r="GX22" s="12"/>
      <c r="GY22" s="12"/>
      <c r="GZ22" s="192">
        <v>17</v>
      </c>
      <c r="HA22" s="886">
        <v>17</v>
      </c>
      <c r="HB22" s="886">
        <v>10</v>
      </c>
      <c r="HC22" s="886">
        <v>10</v>
      </c>
      <c r="HD22" s="887">
        <v>184309270</v>
      </c>
      <c r="HE22" s="887">
        <v>185961720</v>
      </c>
      <c r="HF22" s="800">
        <f t="shared" si="22"/>
        <v>1</v>
      </c>
      <c r="HG22" s="800">
        <f t="shared" si="23"/>
        <v>1.0089656369427322</v>
      </c>
      <c r="HH22" s="802">
        <v>0</v>
      </c>
      <c r="HI22" s="802">
        <v>0.2</v>
      </c>
      <c r="HJ22" s="802">
        <v>0.8</v>
      </c>
      <c r="HK22" s="12"/>
      <c r="HL22" s="13"/>
      <c r="HM22" s="12"/>
      <c r="HN22" s="267">
        <v>17</v>
      </c>
      <c r="HO22" s="892">
        <v>17</v>
      </c>
      <c r="HP22" s="799">
        <f t="shared" si="2"/>
        <v>1.0089656369427322</v>
      </c>
      <c r="HQ22" s="860">
        <v>14135.02</v>
      </c>
      <c r="HR22" s="801">
        <f t="shared" si="24"/>
        <v>14261.749457498259</v>
      </c>
      <c r="HS22" s="860">
        <v>20326618</v>
      </c>
      <c r="HT22" s="975">
        <v>20549740</v>
      </c>
      <c r="HU22" s="860">
        <v>9521341.6389999986</v>
      </c>
      <c r="HV22" s="975">
        <v>10477708</v>
      </c>
      <c r="HW22" s="860">
        <v>225000</v>
      </c>
      <c r="HX22" s="955">
        <v>225000</v>
      </c>
      <c r="HY22" s="860">
        <f t="shared" si="25"/>
        <v>9760476.6589999981</v>
      </c>
      <c r="HZ22" s="860">
        <f t="shared" si="25"/>
        <v>10716969.749457499</v>
      </c>
      <c r="IA22" s="206"/>
      <c r="IB22" s="207"/>
      <c r="IC22" s="206"/>
      <c r="ID22" s="208">
        <v>17</v>
      </c>
      <c r="IE22" s="892">
        <v>17</v>
      </c>
      <c r="IF22" s="896">
        <f t="shared" si="3"/>
        <v>1</v>
      </c>
      <c r="IG22" s="897">
        <f t="shared" si="3"/>
        <v>1.0089656369427322</v>
      </c>
      <c r="IH22" s="955">
        <v>3423698.7888018978</v>
      </c>
      <c r="II22" s="801">
        <f t="shared" si="64"/>
        <v>3454394.4291435676</v>
      </c>
      <c r="IJ22" s="955">
        <v>303676.66150000005</v>
      </c>
      <c r="IK22" s="801">
        <f t="shared" si="26"/>
        <v>306399.31619499001</v>
      </c>
      <c r="IL22" s="955">
        <v>1525701.0546981017</v>
      </c>
      <c r="IM22" s="801">
        <f t="shared" si="82"/>
        <v>1525701.0546981017</v>
      </c>
      <c r="IN22" s="955">
        <v>2001256.6207513765</v>
      </c>
      <c r="IO22" s="995">
        <v>2001256.6207513765</v>
      </c>
      <c r="IP22" s="955">
        <v>90945.126999999993</v>
      </c>
      <c r="IQ22" s="801">
        <f t="shared" si="27"/>
        <v>91760.507990392667</v>
      </c>
      <c r="IR22" s="955">
        <v>81740.587999999974</v>
      </c>
      <c r="IS22" s="801">
        <f t="shared" si="28"/>
        <v>82473.444435493424</v>
      </c>
      <c r="IT22" s="955">
        <v>532527.18400000012</v>
      </c>
      <c r="IU22" s="801">
        <f t="shared" si="29"/>
        <v>537301.62939387967</v>
      </c>
      <c r="IV22" s="955">
        <v>902633.89910000004</v>
      </c>
      <c r="IW22" s="801">
        <f t="shared" si="30"/>
        <v>910726.58693153341</v>
      </c>
      <c r="IX22" s="860">
        <f t="shared" si="31"/>
        <v>8862179.9238513745</v>
      </c>
      <c r="IY22" s="860">
        <f t="shared" si="31"/>
        <v>8910013.589539336</v>
      </c>
      <c r="IZ22" s="898">
        <f t="shared" si="4"/>
        <v>4.7913159705875685</v>
      </c>
      <c r="JA22" s="12"/>
      <c r="JB22" s="13"/>
      <c r="JC22" s="12"/>
      <c r="JD22" s="192">
        <v>17</v>
      </c>
      <c r="JE22" s="886">
        <v>17</v>
      </c>
      <c r="JF22" s="796">
        <f t="shared" si="5"/>
        <v>10</v>
      </c>
      <c r="JG22" s="804">
        <f t="shared" ref="JG22:JG25" si="111">JF22</f>
        <v>10</v>
      </c>
      <c r="JH22" s="859">
        <f t="shared" si="6"/>
        <v>185961720</v>
      </c>
      <c r="JI22" s="859">
        <f t="shared" si="83"/>
        <v>186333732.49068481</v>
      </c>
      <c r="JJ22" s="904">
        <f t="shared" si="33"/>
        <v>1</v>
      </c>
      <c r="JK22" s="904">
        <f t="shared" si="34"/>
        <v>1.0020004788656762</v>
      </c>
      <c r="JL22" s="904">
        <f t="shared" si="35"/>
        <v>1.0314777046093213</v>
      </c>
      <c r="JM22" s="886" t="s">
        <v>238</v>
      </c>
      <c r="JN22" s="209"/>
      <c r="JO22" s="210"/>
      <c r="JP22" s="209"/>
      <c r="JQ22" s="192">
        <v>17</v>
      </c>
      <c r="JR22" s="886">
        <v>17</v>
      </c>
      <c r="JS22" s="910" t="str">
        <f t="shared" si="7"/>
        <v>Q3</v>
      </c>
      <c r="JT22" s="911">
        <f t="shared" si="8"/>
        <v>1.0314777046093213</v>
      </c>
      <c r="JU22" s="860">
        <f t="shared" si="36"/>
        <v>14261.749457498259</v>
      </c>
      <c r="JV22" s="860">
        <f t="shared" si="37"/>
        <v>14710.676594133538</v>
      </c>
      <c r="JW22" s="860">
        <f t="shared" si="9"/>
        <v>20549740</v>
      </c>
      <c r="JX22" s="860">
        <f t="shared" si="38"/>
        <v>20548933.32306375</v>
      </c>
      <c r="JY22" s="860">
        <f t="shared" si="10"/>
        <v>10477708</v>
      </c>
      <c r="JZ22" s="860">
        <f t="shared" si="11"/>
        <v>9238445.2166745104</v>
      </c>
      <c r="KA22" s="860">
        <f t="shared" si="39"/>
        <v>225000</v>
      </c>
      <c r="KB22" s="860">
        <f t="shared" si="40"/>
        <v>402559.19736098708</v>
      </c>
      <c r="KC22" s="860">
        <f t="shared" si="41"/>
        <v>10716969.749457499</v>
      </c>
      <c r="KD22" s="860">
        <f t="shared" si="41"/>
        <v>9655715.0906296317</v>
      </c>
      <c r="KE22" s="211"/>
      <c r="KF22" s="210"/>
      <c r="KG22" s="209"/>
      <c r="KH22" s="243">
        <f t="shared" si="65"/>
        <v>17</v>
      </c>
      <c r="KI22" s="891">
        <v>16</v>
      </c>
      <c r="KJ22" s="920">
        <f t="shared" si="66"/>
        <v>1</v>
      </c>
      <c r="KK22" s="920">
        <f t="shared" si="66"/>
        <v>1.0020004788656762</v>
      </c>
      <c r="KL22" s="683">
        <v>1.6626666699999999</v>
      </c>
      <c r="KM22" s="794">
        <f t="shared" si="67"/>
        <v>2863197.841784114</v>
      </c>
      <c r="KN22" s="683">
        <v>1.6626666699999999</v>
      </c>
      <c r="KO22" s="794">
        <f t="shared" si="42"/>
        <v>62857.56373208775</v>
      </c>
      <c r="KP22" s="683">
        <v>1.6626666699999999</v>
      </c>
      <c r="KQ22" s="794">
        <f t="shared" si="43"/>
        <v>1537414.6578477176</v>
      </c>
      <c r="KR22" s="683">
        <v>1.6626666699999999</v>
      </c>
      <c r="KS22" s="794">
        <f t="shared" si="68"/>
        <v>1942792.1678812166</v>
      </c>
      <c r="KT22" s="683">
        <v>1.6626666699999999</v>
      </c>
      <c r="KU22" s="794">
        <f t="shared" si="44"/>
        <v>142120.22130789157</v>
      </c>
      <c r="KV22" s="683">
        <v>1.6626666699999999</v>
      </c>
      <c r="KW22" s="794">
        <f t="shared" si="45"/>
        <v>55477.350881923288</v>
      </c>
      <c r="KX22" s="683">
        <v>1.6626666699999999</v>
      </c>
      <c r="KY22" s="794">
        <f t="shared" si="46"/>
        <v>1102982.1389305571</v>
      </c>
      <c r="KZ22" s="683">
        <v>1.6626666699999999</v>
      </c>
      <c r="LA22" s="794">
        <f t="shared" si="47"/>
        <v>960669.46029044467</v>
      </c>
      <c r="LB22" s="650">
        <f t="shared" si="48"/>
        <v>8403107.5726111662</v>
      </c>
      <c r="LC22" s="650">
        <f t="shared" si="79"/>
        <v>8667511.4026559517</v>
      </c>
      <c r="LD22" s="16"/>
      <c r="LE22" s="220"/>
      <c r="LF22" s="12"/>
      <c r="LG22" s="192">
        <v>17</v>
      </c>
      <c r="LH22" s="921">
        <v>17</v>
      </c>
      <c r="LI22" s="860">
        <f t="shared" si="12"/>
        <v>9760476.6589999981</v>
      </c>
      <c r="LJ22" s="860">
        <f t="shared" si="12"/>
        <v>10716969.749457499</v>
      </c>
      <c r="LK22" s="801">
        <f t="shared" si="13"/>
        <v>9655715.0906296317</v>
      </c>
      <c r="LL22" s="860">
        <f t="shared" si="14"/>
        <v>8862179.9238513745</v>
      </c>
      <c r="LM22" s="860">
        <f t="shared" si="14"/>
        <v>8910013.589539336</v>
      </c>
      <c r="LN22" s="801">
        <f t="shared" si="49"/>
        <v>9190480.3653758932</v>
      </c>
      <c r="LO22" s="860">
        <f t="shared" si="50"/>
        <v>898296.73514862359</v>
      </c>
      <c r="LP22" s="860">
        <f t="shared" si="50"/>
        <v>1806956.159918163</v>
      </c>
      <c r="LQ22" s="860">
        <f t="shared" si="50"/>
        <v>465234.72525373846</v>
      </c>
      <c r="LR22" s="12"/>
      <c r="LS22" s="13"/>
      <c r="LT22" s="12"/>
      <c r="LU22" s="12"/>
      <c r="LV22" s="12"/>
      <c r="LW22" s="12"/>
      <c r="LX22" s="12"/>
      <c r="LY22" s="13"/>
      <c r="LZ22" s="12"/>
      <c r="MA22" s="222">
        <f t="shared" si="80"/>
        <v>16</v>
      </c>
      <c r="MB22" s="18"/>
      <c r="MC22" s="230"/>
      <c r="MD22" s="268"/>
      <c r="ME22" s="12"/>
      <c r="MF22" s="225"/>
      <c r="MG22" s="268"/>
      <c r="MH22" s="12"/>
      <c r="MI22" s="13"/>
      <c r="MJ22" s="12"/>
      <c r="MK22" s="222">
        <f t="shared" si="81"/>
        <v>16</v>
      </c>
      <c r="ML22" s="18"/>
      <c r="MM22" s="230"/>
      <c r="MN22" s="230"/>
      <c r="MO22" s="230"/>
      <c r="MP22" s="240"/>
      <c r="MQ22" s="12"/>
      <c r="MR22" s="13"/>
      <c r="MS22" s="12"/>
    </row>
    <row r="23" spans="1:357" ht="17.25" thickBot="1" x14ac:dyDescent="0.35">
      <c r="A23" s="5"/>
      <c r="B23" s="328" t="s">
        <v>228</v>
      </c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V23" s="342">
        <v>12</v>
      </c>
      <c r="W23" s="810" t="s">
        <v>229</v>
      </c>
      <c r="X23" s="811">
        <f>X19/X8-1</f>
        <v>-42.429043562427189</v>
      </c>
      <c r="Y23" s="811">
        <f>Y19/Y8-1</f>
        <v>-0.73020453952072661</v>
      </c>
      <c r="Z23" s="811">
        <f>Z19/Z8-1</f>
        <v>0.70961342393409699</v>
      </c>
      <c r="AA23" s="811">
        <f>AA19/AA8-1</f>
        <v>-0.46181493808344909</v>
      </c>
      <c r="AB23" s="229"/>
      <c r="AL23" s="299"/>
      <c r="AN23" s="302">
        <v>19</v>
      </c>
      <c r="AO23" s="343"/>
      <c r="AP23" s="344" t="s">
        <v>230</v>
      </c>
      <c r="AQ23" s="345"/>
      <c r="AR23" s="346"/>
      <c r="AS23" s="347"/>
      <c r="AT23" s="348">
        <v>158</v>
      </c>
      <c r="AU23" s="349"/>
      <c r="AV23" s="347"/>
      <c r="AW23" s="348">
        <v>165</v>
      </c>
      <c r="AX23" s="349"/>
      <c r="AY23" s="350"/>
      <c r="AZ23" s="347"/>
      <c r="BA23" s="348">
        <v>184</v>
      </c>
      <c r="BB23" s="349"/>
      <c r="BC23" s="350"/>
      <c r="BD23" s="347"/>
      <c r="BE23" s="348">
        <v>190</v>
      </c>
      <c r="BF23" s="349"/>
      <c r="BG23" s="350"/>
      <c r="BH23" s="347"/>
      <c r="BI23" s="348">
        <v>191</v>
      </c>
      <c r="BJ23" s="349"/>
      <c r="BK23" s="350"/>
      <c r="BL23" s="347"/>
      <c r="BM23" s="348">
        <v>195</v>
      </c>
      <c r="BN23" s="349"/>
      <c r="BO23" s="350"/>
      <c r="BP23" s="347"/>
      <c r="BQ23" s="348">
        <v>189</v>
      </c>
      <c r="BR23" s="349"/>
      <c r="BS23" s="350"/>
      <c r="BT23" s="1058">
        <v>179</v>
      </c>
      <c r="BU23" s="1058"/>
      <c r="BV23" s="1058"/>
      <c r="BW23" s="352"/>
      <c r="BX23" s="351"/>
      <c r="BY23" s="351"/>
      <c r="BZ23" s="353"/>
      <c r="CA23" s="354"/>
      <c r="CB23" s="29"/>
      <c r="CC23" s="960">
        <v>205</v>
      </c>
      <c r="CD23" s="856"/>
      <c r="CE23" s="857"/>
      <c r="CF23" s="855">
        <f>F25</f>
        <v>202</v>
      </c>
      <c r="CG23" s="856"/>
      <c r="CH23" s="857"/>
      <c r="CI23" s="858">
        <f>CF23/AT23-1</f>
        <v>0.27848101265822778</v>
      </c>
      <c r="CJ23" s="857">
        <f t="shared" si="96"/>
        <v>1.3742047067800689E-2</v>
      </c>
      <c r="DD23" s="12"/>
      <c r="DU23" s="12"/>
      <c r="DV23" s="12"/>
      <c r="DW23" s="12"/>
      <c r="DX23" s="12"/>
      <c r="DY23" s="12"/>
      <c r="ER23" s="356"/>
      <c r="FH23" s="356"/>
      <c r="FJ23" s="222">
        <f t="shared" si="78"/>
        <v>18</v>
      </c>
      <c r="FK23" s="242"/>
      <c r="FL23" s="877" t="s">
        <v>231</v>
      </c>
      <c r="FM23" s="650">
        <v>195427.44259999992</v>
      </c>
      <c r="FN23" s="650">
        <v>402633.97485000012</v>
      </c>
      <c r="FO23" s="650">
        <v>551207.68739999982</v>
      </c>
      <c r="FP23" s="794">
        <f>FM23+FO23+FN23</f>
        <v>1149269.1048499998</v>
      </c>
      <c r="FQ23" s="650">
        <v>196190.71665227265</v>
      </c>
      <c r="FR23" s="650">
        <v>402633.97485000012</v>
      </c>
      <c r="FS23" s="650">
        <v>557207.68739999982</v>
      </c>
      <c r="FT23" s="650">
        <v>1156032.3789022726</v>
      </c>
      <c r="FU23" s="955">
        <v>1156032.3789022726</v>
      </c>
      <c r="FV23" s="730"/>
      <c r="FW23" s="266"/>
      <c r="GZ23" s="222">
        <v>18</v>
      </c>
      <c r="HA23" s="663">
        <v>18</v>
      </c>
      <c r="HB23" s="999">
        <v>10</v>
      </c>
      <c r="HC23" s="999">
        <v>11</v>
      </c>
      <c r="HD23" s="682">
        <v>215577606</v>
      </c>
      <c r="HE23" s="682">
        <v>242653123</v>
      </c>
      <c r="HF23" s="724">
        <f t="shared" si="22"/>
        <v>1.1000000000000001</v>
      </c>
      <c r="HG23" s="724">
        <f t="shared" si="23"/>
        <v>1.1255952206835436</v>
      </c>
      <c r="HH23" s="723">
        <v>0</v>
      </c>
      <c r="HI23" s="1000">
        <v>0</v>
      </c>
      <c r="HJ23" s="1000">
        <v>1</v>
      </c>
      <c r="HN23" s="243">
        <v>18</v>
      </c>
      <c r="HO23" s="891">
        <v>18</v>
      </c>
      <c r="HP23" s="793">
        <f t="shared" si="2"/>
        <v>1.1255952206835436</v>
      </c>
      <c r="HQ23" s="650">
        <v>3765</v>
      </c>
      <c r="HR23" s="794">
        <f t="shared" si="24"/>
        <v>4237.8660058735413</v>
      </c>
      <c r="HS23" s="650">
        <v>24108935</v>
      </c>
      <c r="HT23" s="975">
        <v>27145426</v>
      </c>
      <c r="HU23" s="650">
        <v>10760066.173500001</v>
      </c>
      <c r="HV23" s="975">
        <v>14076047</v>
      </c>
      <c r="HW23" s="650">
        <v>225000</v>
      </c>
      <c r="HX23" s="955">
        <v>247500</v>
      </c>
      <c r="HY23" s="650">
        <f t="shared" si="25"/>
        <v>10988831.173500001</v>
      </c>
      <c r="HZ23" s="650">
        <f t="shared" si="25"/>
        <v>14327784.866005873</v>
      </c>
      <c r="IA23" s="206"/>
      <c r="IB23" s="207"/>
      <c r="IC23" s="206"/>
      <c r="ID23" s="244">
        <v>18</v>
      </c>
      <c r="IE23" s="891">
        <v>18</v>
      </c>
      <c r="IF23" s="899">
        <f t="shared" si="3"/>
        <v>1.1000000000000001</v>
      </c>
      <c r="IG23" s="900">
        <f t="shared" si="3"/>
        <v>1.1255952206835436</v>
      </c>
      <c r="IH23" s="955">
        <v>3459154.9380523348</v>
      </c>
      <c r="II23" s="794">
        <f t="shared" si="64"/>
        <v>3893608.2658755872</v>
      </c>
      <c r="IJ23" s="955">
        <v>152230.48199999999</v>
      </c>
      <c r="IK23" s="794">
        <f t="shared" si="26"/>
        <v>171349.90298155221</v>
      </c>
      <c r="IL23" s="955">
        <v>1327169.919947665</v>
      </c>
      <c r="IM23" s="794">
        <f t="shared" si="82"/>
        <v>1459886.9119424315</v>
      </c>
      <c r="IN23" s="955">
        <v>2225370.6313538007</v>
      </c>
      <c r="IO23" s="995">
        <v>2567096.6016763039</v>
      </c>
      <c r="IP23" s="955">
        <v>185070.00999999998</v>
      </c>
      <c r="IQ23" s="794">
        <f t="shared" si="27"/>
        <v>208313.91874785558</v>
      </c>
      <c r="IR23" s="955">
        <v>86296.820999999967</v>
      </c>
      <c r="IS23" s="794">
        <f t="shared" si="28"/>
        <v>97135.289277783217</v>
      </c>
      <c r="IT23" s="955">
        <v>536489.61</v>
      </c>
      <c r="IU23" s="794">
        <f t="shared" si="29"/>
        <v>603870.14096237824</v>
      </c>
      <c r="IV23" s="955">
        <v>1603178.8900000001</v>
      </c>
      <c r="IW23" s="794">
        <f t="shared" si="30"/>
        <v>1804530.4964847486</v>
      </c>
      <c r="IX23" s="650">
        <f t="shared" si="31"/>
        <v>9574961.3023538012</v>
      </c>
      <c r="IY23" s="650">
        <f t="shared" si="31"/>
        <v>10805791.52794864</v>
      </c>
      <c r="IZ23" s="683">
        <f t="shared" si="4"/>
        <v>4.453184609517117</v>
      </c>
      <c r="JD23" s="222">
        <v>18</v>
      </c>
      <c r="JE23" s="663">
        <v>18</v>
      </c>
      <c r="JF23" s="660">
        <f t="shared" si="5"/>
        <v>11</v>
      </c>
      <c r="JG23" s="729">
        <f t="shared" si="111"/>
        <v>11</v>
      </c>
      <c r="JH23" s="905">
        <f t="shared" si="6"/>
        <v>242653123</v>
      </c>
      <c r="JI23" s="905">
        <f t="shared" si="83"/>
        <v>243138545.44425184</v>
      </c>
      <c r="JJ23" s="906">
        <f t="shared" si="33"/>
        <v>1</v>
      </c>
      <c r="JK23" s="906">
        <f t="shared" si="34"/>
        <v>1.0020004788656762</v>
      </c>
      <c r="JL23" s="906">
        <f t="shared" si="35"/>
        <v>1.0453573771635374</v>
      </c>
      <c r="JM23" s="663" t="s">
        <v>425</v>
      </c>
      <c r="JN23" s="209"/>
      <c r="JO23" s="210"/>
      <c r="JP23" s="209"/>
      <c r="JQ23" s="222">
        <v>18</v>
      </c>
      <c r="JR23" s="663">
        <v>18</v>
      </c>
      <c r="JS23" s="914" t="str">
        <f t="shared" si="7"/>
        <v>Q2</v>
      </c>
      <c r="JT23" s="913">
        <f t="shared" si="8"/>
        <v>1.0453573771635374</v>
      </c>
      <c r="JU23" s="671">
        <f t="shared" si="36"/>
        <v>4237.8660058735413</v>
      </c>
      <c r="JV23" s="671">
        <f t="shared" si="37"/>
        <v>4430.0844926704813</v>
      </c>
      <c r="JW23" s="671">
        <f t="shared" si="9"/>
        <v>27145426</v>
      </c>
      <c r="JX23" s="671">
        <f t="shared" si="38"/>
        <v>26813383.126162671</v>
      </c>
      <c r="JY23" s="671">
        <f t="shared" si="10"/>
        <v>14076047</v>
      </c>
      <c r="JZ23" s="671">
        <f t="shared" si="11"/>
        <v>12054833.561931359</v>
      </c>
      <c r="KA23" s="671">
        <f t="shared" si="39"/>
        <v>247500</v>
      </c>
      <c r="KB23" s="671">
        <f t="shared" si="40"/>
        <v>525281.47423037852</v>
      </c>
      <c r="KC23" s="671">
        <f t="shared" si="41"/>
        <v>14327784.866005873</v>
      </c>
      <c r="KD23" s="671">
        <f t="shared" si="41"/>
        <v>12584545.120654408</v>
      </c>
      <c r="KE23" s="211"/>
      <c r="KF23" s="210"/>
      <c r="KG23" s="209"/>
      <c r="KH23" s="245">
        <f t="shared" si="65"/>
        <v>18</v>
      </c>
      <c r="KI23" s="917">
        <v>17</v>
      </c>
      <c r="KJ23" s="918">
        <f t="shared" si="66"/>
        <v>1</v>
      </c>
      <c r="KK23" s="918">
        <f t="shared" si="66"/>
        <v>1.0020004788656762</v>
      </c>
      <c r="KL23" s="898">
        <v>1.6626666699999999</v>
      </c>
      <c r="KM23" s="801">
        <f t="shared" si="67"/>
        <v>3565948.9797094744</v>
      </c>
      <c r="KN23" s="898">
        <v>1.6626666699999999</v>
      </c>
      <c r="KO23" s="801">
        <f t="shared" si="42"/>
        <v>316294.02819529496</v>
      </c>
      <c r="KP23" s="898">
        <v>1.6626666699999999</v>
      </c>
      <c r="KQ23" s="801">
        <f t="shared" si="43"/>
        <v>1571826.9035040811</v>
      </c>
      <c r="KR23" s="898">
        <v>1.6626666699999999</v>
      </c>
      <c r="KS23" s="801">
        <f t="shared" si="68"/>
        <v>2061759.7317812166</v>
      </c>
      <c r="KT23" s="898">
        <v>1.6626666699999999</v>
      </c>
      <c r="KU23" s="801">
        <f t="shared" si="44"/>
        <v>94723.777657054743</v>
      </c>
      <c r="KV23" s="898">
        <v>1.6626666699999999</v>
      </c>
      <c r="KW23" s="801">
        <f t="shared" si="45"/>
        <v>85136.802142998989</v>
      </c>
      <c r="KX23" s="898">
        <v>1.6626666699999999</v>
      </c>
      <c r="KY23" s="801">
        <f t="shared" si="46"/>
        <v>554652.98952799861</v>
      </c>
      <c r="KZ23" s="898">
        <v>1.6626666699999999</v>
      </c>
      <c r="LA23" s="919">
        <f t="shared" si="47"/>
        <v>940137.15285777545</v>
      </c>
      <c r="LB23" s="646">
        <f t="shared" si="48"/>
        <v>8910013.589539336</v>
      </c>
      <c r="LC23" s="646">
        <f t="shared" si="79"/>
        <v>9190480.3653758932</v>
      </c>
      <c r="LD23" s="16"/>
      <c r="LE23" s="220"/>
      <c r="LG23" s="222">
        <v>18</v>
      </c>
      <c r="LH23" s="922">
        <v>18</v>
      </c>
      <c r="LI23" s="650">
        <f t="shared" si="12"/>
        <v>10988831.173500001</v>
      </c>
      <c r="LJ23" s="650">
        <f t="shared" si="12"/>
        <v>14327784.866005873</v>
      </c>
      <c r="LK23" s="794">
        <f t="shared" si="13"/>
        <v>12584545.120654408</v>
      </c>
      <c r="LL23" s="650">
        <f t="shared" si="14"/>
        <v>9574961.3023538012</v>
      </c>
      <c r="LM23" s="650">
        <f t="shared" si="14"/>
        <v>10805791.52794864</v>
      </c>
      <c r="LN23" s="794">
        <f t="shared" si="49"/>
        <v>11295913.889832363</v>
      </c>
      <c r="LO23" s="650">
        <f t="shared" si="50"/>
        <v>1413869.8711462002</v>
      </c>
      <c r="LP23" s="650">
        <f t="shared" si="50"/>
        <v>3521993.338057233</v>
      </c>
      <c r="LQ23" s="650">
        <f t="shared" si="50"/>
        <v>1288631.2308220454</v>
      </c>
      <c r="MA23" s="192">
        <f>MA22+1</f>
        <v>17</v>
      </c>
      <c r="MB23" s="194" t="s">
        <v>232</v>
      </c>
      <c r="MC23" s="320">
        <f>'DCA 8 month Phase I'!LW13</f>
        <v>20079953.402397215</v>
      </c>
      <c r="MD23" s="331">
        <f>MC23/$MC$34*100</f>
        <v>0.91336432486279517</v>
      </c>
      <c r="ME23" s="194"/>
      <c r="MF23" s="357">
        <f>(MF8+MF21)/(1-'DCA 8 month Phase I'!LW11)-(MF8+MF21)</f>
        <v>20079953.402397215</v>
      </c>
      <c r="MG23" s="331">
        <f>MF23/$MG$34*100</f>
        <v>0.91336432486279517</v>
      </c>
      <c r="MK23" s="192">
        <f>MK22+1</f>
        <v>17</v>
      </c>
      <c r="ML23" s="194" t="str">
        <f>MB23</f>
        <v>Total Return</v>
      </c>
      <c r="MM23" s="981">
        <v>18998322.143907189</v>
      </c>
      <c r="MN23" s="320">
        <f>MC23</f>
        <v>20079953.402397215</v>
      </c>
      <c r="MO23" s="320">
        <f t="shared" si="70"/>
        <v>1081631.258490026</v>
      </c>
      <c r="MP23" s="802">
        <f>MO23/MM23</f>
        <v>5.6932988623782647E-2</v>
      </c>
    </row>
    <row r="24" spans="1:357" s="29" customFormat="1" ht="16.5" x14ac:dyDescent="0.3">
      <c r="A24" s="7"/>
      <c r="B24" s="358">
        <f>B22+1</f>
        <v>18</v>
      </c>
      <c r="C24" s="359" t="s">
        <v>226</v>
      </c>
      <c r="D24" s="359"/>
      <c r="E24" s="360"/>
      <c r="F24" s="1059">
        <f>GQ6</f>
        <v>2080574152</v>
      </c>
      <c r="G24" s="1060"/>
      <c r="H24" s="1059">
        <f>GU6</f>
        <v>2091530523.2727273</v>
      </c>
      <c r="I24" s="1061"/>
      <c r="J24" s="1060"/>
      <c r="K24" s="1059">
        <f>HE26</f>
        <v>2194071252</v>
      </c>
      <c r="L24" s="1061"/>
      <c r="M24" s="1060"/>
      <c r="N24" s="1059">
        <f>JI26</f>
        <v>2198460445.1694136</v>
      </c>
      <c r="O24" s="1061"/>
      <c r="P24" s="1060"/>
      <c r="Q24" s="361">
        <f t="shared" ref="Q24" si="112">N24-F24</f>
        <v>117886293.16941357</v>
      </c>
      <c r="R24" s="362">
        <f>N24/F24-1</f>
        <v>5.6660462236393982E-2</v>
      </c>
      <c r="S24" s="12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3"/>
      <c r="AE24" s="12"/>
      <c r="AF24" s="12"/>
      <c r="AG24" s="12"/>
      <c r="AH24" s="12"/>
      <c r="AI24" s="12"/>
      <c r="AJ24" s="12"/>
      <c r="AK24" s="12"/>
      <c r="AL24" s="29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3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3"/>
      <c r="CZ24" s="12"/>
      <c r="DA24" s="12"/>
      <c r="DB24" s="12"/>
      <c r="DC24" s="12"/>
      <c r="DD24" s="16"/>
      <c r="DE24" s="12"/>
      <c r="DF24" s="12"/>
      <c r="DG24" s="12"/>
      <c r="DH24" s="12"/>
      <c r="DI24" s="13"/>
      <c r="DJ24" s="12"/>
      <c r="DK24" s="12"/>
      <c r="DL24" s="12"/>
      <c r="DM24" s="12"/>
      <c r="DN24" s="16"/>
      <c r="DO24" s="12"/>
      <c r="DP24" s="12"/>
      <c r="DQ24" s="12"/>
      <c r="DR24" s="13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3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3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3"/>
      <c r="FI24" s="12"/>
      <c r="FJ24" s="363">
        <f t="shared" si="78"/>
        <v>19</v>
      </c>
      <c r="FK24" s="364"/>
      <c r="FL24" s="365" t="s">
        <v>221</v>
      </c>
      <c r="FM24" s="366">
        <f>SUM(FM22:FM23)</f>
        <v>214730.21509999991</v>
      </c>
      <c r="FN24" s="366">
        <f>SUM(FN22:FN23)</f>
        <v>414688.97485000012</v>
      </c>
      <c r="FO24" s="366">
        <f>SUM(FO22:FO23)</f>
        <v>568847.51739999978</v>
      </c>
      <c r="FP24" s="367">
        <f>FM24+FO24+FN24</f>
        <v>1198266.7073499998</v>
      </c>
      <c r="FQ24" s="366">
        <v>196190.71665227265</v>
      </c>
      <c r="FR24" s="366">
        <v>402633.97485000012</v>
      </c>
      <c r="FS24" s="366">
        <v>557207.68739999982</v>
      </c>
      <c r="FT24" s="366">
        <v>1156032.3789022726</v>
      </c>
      <c r="FU24" s="971">
        <v>1156032.3789022726</v>
      </c>
      <c r="FV24" s="16"/>
      <c r="FW24" s="266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3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3"/>
      <c r="GX24" s="12"/>
      <c r="GY24" s="12"/>
      <c r="GZ24" s="192">
        <v>19</v>
      </c>
      <c r="HA24" s="886">
        <v>19</v>
      </c>
      <c r="HB24" s="886">
        <v>11</v>
      </c>
      <c r="HC24" s="886">
        <v>11</v>
      </c>
      <c r="HD24" s="887">
        <v>281168952.5</v>
      </c>
      <c r="HE24" s="887">
        <v>288278105</v>
      </c>
      <c r="HF24" s="800">
        <f t="shared" si="22"/>
        <v>1</v>
      </c>
      <c r="HG24" s="800">
        <f t="shared" si="23"/>
        <v>1.025284272807468</v>
      </c>
      <c r="HH24" s="802">
        <v>0</v>
      </c>
      <c r="HI24" s="1000">
        <v>9.0909090909090912E-2</v>
      </c>
      <c r="HJ24" s="1000">
        <v>0.90909090909090906</v>
      </c>
      <c r="HK24" s="12"/>
      <c r="HL24" s="13"/>
      <c r="HM24" s="12"/>
      <c r="HN24" s="267">
        <v>19</v>
      </c>
      <c r="HO24" s="892">
        <v>19</v>
      </c>
      <c r="HP24" s="799">
        <f t="shared" si="2"/>
        <v>1.025284272807468</v>
      </c>
      <c r="HQ24" s="860">
        <v>1328.64</v>
      </c>
      <c r="HR24" s="801">
        <f t="shared" si="24"/>
        <v>1362.2336962229144</v>
      </c>
      <c r="HS24" s="860">
        <v>32365939</v>
      </c>
      <c r="HT24" s="975">
        <v>32214175</v>
      </c>
      <c r="HU24" s="860">
        <v>14825604.0823</v>
      </c>
      <c r="HV24" s="975">
        <v>16732387</v>
      </c>
      <c r="HW24" s="860">
        <v>247500</v>
      </c>
      <c r="HX24" s="955">
        <v>247500</v>
      </c>
      <c r="HY24" s="860">
        <f t="shared" si="25"/>
        <v>15074432.7223</v>
      </c>
      <c r="HZ24" s="860">
        <f t="shared" si="25"/>
        <v>16981249.233696222</v>
      </c>
      <c r="IA24" s="206"/>
      <c r="IB24" s="207"/>
      <c r="IC24" s="206"/>
      <c r="ID24" s="208">
        <v>19</v>
      </c>
      <c r="IE24" s="892">
        <v>19</v>
      </c>
      <c r="IF24" s="896">
        <f t="shared" si="3"/>
        <v>1</v>
      </c>
      <c r="IG24" s="897">
        <f t="shared" si="3"/>
        <v>1.025284272807468</v>
      </c>
      <c r="IH24" s="955">
        <v>4832384.6993265636</v>
      </c>
      <c r="II24" s="801">
        <f t="shared" si="64"/>
        <v>4954568.0323749706</v>
      </c>
      <c r="IJ24" s="955">
        <v>73302.798999999999</v>
      </c>
      <c r="IK24" s="801">
        <f t="shared" si="26"/>
        <v>75156.206967466991</v>
      </c>
      <c r="IL24" s="955">
        <v>1795439.9916734365</v>
      </c>
      <c r="IM24" s="801">
        <f t="shared" si="82"/>
        <v>1795439.9916734365</v>
      </c>
      <c r="IN24" s="955">
        <v>2524707.7237054296</v>
      </c>
      <c r="IO24" s="995">
        <v>2594062.5496446453</v>
      </c>
      <c r="IP24" s="955">
        <v>136160.67300000007</v>
      </c>
      <c r="IQ24" s="801">
        <f t="shared" si="27"/>
        <v>139603.39660178052</v>
      </c>
      <c r="IR24" s="955">
        <v>123511.94300000001</v>
      </c>
      <c r="IS24" s="801">
        <f t="shared" si="28"/>
        <v>126634.85266179245</v>
      </c>
      <c r="IT24" s="955">
        <v>1057746.7799999998</v>
      </c>
      <c r="IU24" s="801">
        <f t="shared" si="29"/>
        <v>1084491.1381467406</v>
      </c>
      <c r="IV24" s="955">
        <v>1391412.84</v>
      </c>
      <c r="IW24" s="801">
        <f t="shared" si="30"/>
        <v>1426593.7018343739</v>
      </c>
      <c r="IX24" s="860">
        <f t="shared" si="31"/>
        <v>11934667.449705429</v>
      </c>
      <c r="IY24" s="860">
        <f t="shared" si="31"/>
        <v>12196549.869905207</v>
      </c>
      <c r="IZ24" s="898">
        <f t="shared" si="4"/>
        <v>4.2308276828395304</v>
      </c>
      <c r="JA24" s="12"/>
      <c r="JB24" s="13"/>
      <c r="JC24" s="12"/>
      <c r="JD24" s="192">
        <v>19</v>
      </c>
      <c r="JE24" s="886">
        <v>19</v>
      </c>
      <c r="JF24" s="796">
        <f t="shared" si="5"/>
        <v>11</v>
      </c>
      <c r="JG24" s="804">
        <f t="shared" si="111"/>
        <v>11</v>
      </c>
      <c r="JH24" s="859">
        <f t="shared" si="6"/>
        <v>288278105</v>
      </c>
      <c r="JI24" s="859">
        <f t="shared" si="83"/>
        <v>288854799.25648969</v>
      </c>
      <c r="JJ24" s="904">
        <f t="shared" si="33"/>
        <v>1</v>
      </c>
      <c r="JK24" s="904">
        <f t="shared" si="34"/>
        <v>1.0020004788656762</v>
      </c>
      <c r="JL24" s="904">
        <f t="shared" si="35"/>
        <v>1.0315517856381684</v>
      </c>
      <c r="JM24" s="886" t="s">
        <v>238</v>
      </c>
      <c r="JN24" s="209"/>
      <c r="JO24" s="210"/>
      <c r="JP24" s="209"/>
      <c r="JQ24" s="192">
        <v>19</v>
      </c>
      <c r="JR24" s="886">
        <v>19</v>
      </c>
      <c r="JS24" s="910" t="str">
        <f t="shared" si="7"/>
        <v>Q3</v>
      </c>
      <c r="JT24" s="911">
        <f t="shared" si="8"/>
        <v>1.0315517856381684</v>
      </c>
      <c r="JU24" s="860">
        <f t="shared" si="36"/>
        <v>1362.2336962229144</v>
      </c>
      <c r="JV24" s="860">
        <f t="shared" si="37"/>
        <v>1405.2146017952296</v>
      </c>
      <c r="JW24" s="860">
        <f t="shared" si="9"/>
        <v>32214175</v>
      </c>
      <c r="JX24" s="860">
        <f t="shared" si="38"/>
        <v>31854983.693117972</v>
      </c>
      <c r="JY24" s="860">
        <f t="shared" si="10"/>
        <v>16732387</v>
      </c>
      <c r="JZ24" s="860">
        <f t="shared" si="11"/>
        <v>14321450.028582454</v>
      </c>
      <c r="KA24" s="860">
        <f t="shared" si="39"/>
        <v>247500</v>
      </c>
      <c r="KB24" s="860">
        <f t="shared" si="40"/>
        <v>624047.80169567338</v>
      </c>
      <c r="KC24" s="860">
        <f t="shared" si="41"/>
        <v>16981249.233696222</v>
      </c>
      <c r="KD24" s="860">
        <f t="shared" si="41"/>
        <v>14946903.044879923</v>
      </c>
      <c r="KE24" s="211"/>
      <c r="KF24" s="210"/>
      <c r="KG24" s="209"/>
      <c r="KH24" s="243">
        <f t="shared" si="65"/>
        <v>19</v>
      </c>
      <c r="KI24" s="891">
        <v>18</v>
      </c>
      <c r="KJ24" s="920">
        <f t="shared" si="66"/>
        <v>1</v>
      </c>
      <c r="KK24" s="920">
        <f t="shared" si="66"/>
        <v>1.0020004788656762</v>
      </c>
      <c r="KL24" s="683">
        <v>1.6406666700000001</v>
      </c>
      <c r="KM24" s="794">
        <f t="shared" si="67"/>
        <v>4073242.7313412949</v>
      </c>
      <c r="KN24" s="683">
        <v>1.6406666700000001</v>
      </c>
      <c r="KO24" s="794">
        <f t="shared" si="42"/>
        <v>179255.25609564374</v>
      </c>
      <c r="KP24" s="683">
        <v>1.6406666700000001</v>
      </c>
      <c r="KQ24" s="794">
        <f t="shared" si="43"/>
        <v>1524190.7511266959</v>
      </c>
      <c r="KR24" s="683">
        <v>1.6406666700000001</v>
      </c>
      <c r="KS24" s="794">
        <f t="shared" si="68"/>
        <v>2680169.8580321865</v>
      </c>
      <c r="KT24" s="683">
        <v>1.6406666700000001</v>
      </c>
      <c r="KU24" s="794">
        <f t="shared" si="44"/>
        <v>217924.63376798175</v>
      </c>
      <c r="KV24" s="683">
        <v>1.6406666700000001</v>
      </c>
      <c r="KW24" s="794">
        <f t="shared" si="45"/>
        <v>101616.69690170803</v>
      </c>
      <c r="KX24" s="683">
        <v>1.6406666700000001</v>
      </c>
      <c r="KY24" s="794">
        <f t="shared" si="46"/>
        <v>631730.13163816975</v>
      </c>
      <c r="KZ24" s="683">
        <v>1.6406666700000001</v>
      </c>
      <c r="LA24" s="794">
        <f t="shared" si="47"/>
        <v>1887783.8309286828</v>
      </c>
      <c r="LB24" s="650">
        <f t="shared" si="48"/>
        <v>10805791.52794864</v>
      </c>
      <c r="LC24" s="650">
        <f t="shared" si="79"/>
        <v>11295913.889832363</v>
      </c>
      <c r="LD24" s="16"/>
      <c r="LE24" s="220"/>
      <c r="LF24" s="12"/>
      <c r="LG24" s="192">
        <v>19</v>
      </c>
      <c r="LH24" s="921">
        <v>19</v>
      </c>
      <c r="LI24" s="860">
        <f t="shared" si="12"/>
        <v>15074432.7223</v>
      </c>
      <c r="LJ24" s="860">
        <f t="shared" si="12"/>
        <v>16981249.233696222</v>
      </c>
      <c r="LK24" s="801">
        <f t="shared" si="13"/>
        <v>14946903.044879923</v>
      </c>
      <c r="LL24" s="860">
        <f t="shared" si="14"/>
        <v>11934667.449705429</v>
      </c>
      <c r="LM24" s="860">
        <f t="shared" si="14"/>
        <v>12196549.869905207</v>
      </c>
      <c r="LN24" s="801">
        <f t="shared" si="49"/>
        <v>12581372.796925686</v>
      </c>
      <c r="LO24" s="860">
        <f t="shared" si="50"/>
        <v>3139765.2725945711</v>
      </c>
      <c r="LP24" s="860">
        <f t="shared" si="50"/>
        <v>4784699.363791015</v>
      </c>
      <c r="LQ24" s="860">
        <f t="shared" si="50"/>
        <v>2365530.2479542363</v>
      </c>
      <c r="LR24" s="12"/>
      <c r="LS24" s="13"/>
      <c r="LT24" s="12"/>
      <c r="LU24" s="12"/>
      <c r="LV24" s="12"/>
      <c r="LW24" s="12"/>
      <c r="LX24" s="12"/>
      <c r="LY24" s="13"/>
      <c r="LZ24" s="12"/>
      <c r="MA24" s="293">
        <f t="shared" si="80"/>
        <v>18</v>
      </c>
      <c r="MB24" s="816" t="s">
        <v>233</v>
      </c>
      <c r="MC24" s="932">
        <f>1-(MC8+MC21)/(MC8+MC21+MC23)</f>
        <v>5.3900000000000059E-2</v>
      </c>
      <c r="MD24" s="930"/>
      <c r="ME24" s="839"/>
      <c r="MF24" s="933">
        <f>1-(MF8+MF21)/(MF8+MF21+MF23)</f>
        <v>5.3900000000000059E-2</v>
      </c>
      <c r="MG24" s="930"/>
      <c r="MH24" s="12"/>
      <c r="MI24" s="13"/>
      <c r="MJ24" s="12"/>
      <c r="MK24" s="293">
        <f t="shared" si="81"/>
        <v>18</v>
      </c>
      <c r="ML24" s="941" t="str">
        <f>MB24</f>
        <v>Pre-Tax Return</v>
      </c>
      <c r="MM24" s="982">
        <v>5.3900000000000059E-2</v>
      </c>
      <c r="MN24" s="942">
        <f>MC24</f>
        <v>5.3900000000000059E-2</v>
      </c>
      <c r="MO24" s="942">
        <f t="shared" si="70"/>
        <v>0</v>
      </c>
      <c r="MP24" s="943">
        <f t="shared" si="71"/>
        <v>0</v>
      </c>
      <c r="MQ24" s="12"/>
      <c r="MR24" s="13"/>
      <c r="MS24" s="12"/>
    </row>
    <row r="25" spans="1:357" ht="17.25" thickBot="1" x14ac:dyDescent="0.35">
      <c r="A25" s="5"/>
      <c r="B25" s="368">
        <f>B24+1</f>
        <v>19</v>
      </c>
      <c r="C25" s="369" t="s">
        <v>234</v>
      </c>
      <c r="D25" s="369"/>
      <c r="E25" s="370"/>
      <c r="F25" s="1051">
        <f>HB26</f>
        <v>202</v>
      </c>
      <c r="G25" s="1052"/>
      <c r="H25" s="1051">
        <f>HB26</f>
        <v>202</v>
      </c>
      <c r="I25" s="1053"/>
      <c r="J25" s="1052"/>
      <c r="K25" s="1051">
        <f>JF26</f>
        <v>221</v>
      </c>
      <c r="L25" s="1053"/>
      <c r="M25" s="1052"/>
      <c r="N25" s="1051">
        <f>JG26</f>
        <v>219</v>
      </c>
      <c r="O25" s="1053"/>
      <c r="P25" s="1052"/>
      <c r="Q25" s="371">
        <f>N25-F25</f>
        <v>17</v>
      </c>
      <c r="R25" s="372">
        <f>N25/F25-1</f>
        <v>8.4158415841584233E-2</v>
      </c>
      <c r="AL25" s="299"/>
      <c r="DU25" s="12"/>
      <c r="DV25" s="12"/>
      <c r="DW25" s="12"/>
      <c r="DX25" s="12"/>
      <c r="DY25" s="12"/>
      <c r="FJ25" s="222">
        <f t="shared" si="78"/>
        <v>20</v>
      </c>
      <c r="FK25" s="307" t="s">
        <v>235</v>
      </c>
      <c r="FL25" s="308"/>
      <c r="FM25" s="329"/>
      <c r="FN25" s="329"/>
      <c r="FO25" s="329"/>
      <c r="FP25" s="330"/>
      <c r="FQ25" s="329"/>
      <c r="FR25" s="329"/>
      <c r="FS25" s="329"/>
      <c r="FT25" s="329"/>
      <c r="FU25" s="329"/>
      <c r="FV25" s="16"/>
      <c r="FW25" s="266"/>
      <c r="GZ25" s="297">
        <v>20</v>
      </c>
      <c r="HA25" s="668">
        <v>20</v>
      </c>
      <c r="HB25" s="668">
        <v>10</v>
      </c>
      <c r="HC25" s="668">
        <v>10</v>
      </c>
      <c r="HD25" s="889">
        <v>345437324</v>
      </c>
      <c r="HE25" s="889">
        <v>354093613</v>
      </c>
      <c r="HF25" s="728">
        <f t="shared" si="22"/>
        <v>1</v>
      </c>
      <c r="HG25" s="728">
        <f t="shared" si="23"/>
        <v>1.0250589279113336</v>
      </c>
      <c r="HH25" s="726">
        <v>0</v>
      </c>
      <c r="HI25" s="726">
        <v>0</v>
      </c>
      <c r="HJ25" s="726">
        <v>1</v>
      </c>
      <c r="HN25" s="373">
        <v>20</v>
      </c>
      <c r="HO25" s="893">
        <v>20</v>
      </c>
      <c r="HP25" s="894">
        <f t="shared" si="2"/>
        <v>1.0250589279113336</v>
      </c>
      <c r="HQ25" s="727">
        <v>74981.02</v>
      </c>
      <c r="HR25" s="895">
        <f t="shared" si="24"/>
        <v>76859.963974898259</v>
      </c>
      <c r="HS25" s="727">
        <v>38245984</v>
      </c>
      <c r="HT25" s="976">
        <v>39214260</v>
      </c>
      <c r="HU25" s="727">
        <v>16742232.458199998</v>
      </c>
      <c r="HV25" s="976">
        <v>20224278</v>
      </c>
      <c r="HW25" s="727">
        <v>225000</v>
      </c>
      <c r="HX25" s="968">
        <v>225000</v>
      </c>
      <c r="HY25" s="727">
        <f t="shared" si="25"/>
        <v>17042213.4782</v>
      </c>
      <c r="HZ25" s="727">
        <f t="shared" si="25"/>
        <v>20526137.963974897</v>
      </c>
      <c r="IA25" s="206"/>
      <c r="IB25" s="207"/>
      <c r="IC25" s="206"/>
      <c r="ID25" s="374">
        <v>20</v>
      </c>
      <c r="IE25" s="893">
        <v>20</v>
      </c>
      <c r="IF25" s="901">
        <f t="shared" si="3"/>
        <v>1</v>
      </c>
      <c r="IG25" s="902">
        <f t="shared" si="3"/>
        <v>1.0250589279113336</v>
      </c>
      <c r="IH25" s="968">
        <v>5724380.0135961343</v>
      </c>
      <c r="II25" s="895">
        <f t="shared" si="64"/>
        <v>5867826.8396939188</v>
      </c>
      <c r="IJ25" s="968">
        <v>219612.97514999998</v>
      </c>
      <c r="IK25" s="895">
        <f t="shared" si="26"/>
        <v>225116.24086267731</v>
      </c>
      <c r="IL25" s="968">
        <v>2632646.793253866</v>
      </c>
      <c r="IM25" s="895">
        <f t="shared" si="82"/>
        <v>2632646.793253866</v>
      </c>
      <c r="IN25" s="968">
        <v>2694508.4728766764</v>
      </c>
      <c r="IO25" s="996">
        <v>2694508.4728766764</v>
      </c>
      <c r="IP25" s="968">
        <v>401825.30300000007</v>
      </c>
      <c r="IQ25" s="895">
        <f>IP25*$HG25</f>
        <v>411894.61430082686</v>
      </c>
      <c r="IR25" s="968">
        <v>156788.33400000003</v>
      </c>
      <c r="IS25" s="895">
        <f t="shared" si="28"/>
        <v>160717.28155904412</v>
      </c>
      <c r="IT25" s="968">
        <v>1244707.0171640001</v>
      </c>
      <c r="IU25" s="895">
        <f t="shared" si="29"/>
        <v>1275898.0405778438</v>
      </c>
      <c r="IV25" s="968">
        <v>1610495.5785100001</v>
      </c>
      <c r="IW25" s="895">
        <f t="shared" si="30"/>
        <v>1650852.8711134037</v>
      </c>
      <c r="IX25" s="727">
        <f t="shared" si="31"/>
        <v>14684964.487550676</v>
      </c>
      <c r="IY25" s="727">
        <f t="shared" si="31"/>
        <v>14919461.154238256</v>
      </c>
      <c r="IZ25" s="903">
        <f t="shared" si="4"/>
        <v>4.2134228369259672</v>
      </c>
      <c r="JD25" s="297">
        <v>20</v>
      </c>
      <c r="JE25" s="668">
        <v>20</v>
      </c>
      <c r="JF25" s="665">
        <f t="shared" si="5"/>
        <v>10</v>
      </c>
      <c r="JG25" s="907">
        <f t="shared" si="111"/>
        <v>10</v>
      </c>
      <c r="JH25" s="908">
        <f t="shared" si="6"/>
        <v>354093613</v>
      </c>
      <c r="JI25" s="908">
        <f t="shared" si="83"/>
        <v>354801969.78927743</v>
      </c>
      <c r="JJ25" s="909">
        <f t="shared" si="33"/>
        <v>1</v>
      </c>
      <c r="JK25" s="909">
        <f t="shared" si="34"/>
        <v>1.0020004788656762</v>
      </c>
      <c r="JL25" s="909">
        <f t="shared" si="35"/>
        <v>1.0315576309959573</v>
      </c>
      <c r="JM25" s="668" t="s">
        <v>238</v>
      </c>
      <c r="JN25" s="209"/>
      <c r="JO25" s="210"/>
      <c r="JP25" s="209"/>
      <c r="JQ25" s="297">
        <v>20</v>
      </c>
      <c r="JR25" s="668">
        <v>20</v>
      </c>
      <c r="JS25" s="915" t="str">
        <f t="shared" si="7"/>
        <v>Q3</v>
      </c>
      <c r="JT25" s="916">
        <f t="shared" si="8"/>
        <v>1.0315576309959573</v>
      </c>
      <c r="JU25" s="673">
        <f t="shared" si="36"/>
        <v>76859.963974898259</v>
      </c>
      <c r="JV25" s="673">
        <f t="shared" si="37"/>
        <v>79285.482356380671</v>
      </c>
      <c r="JW25" s="673">
        <f t="shared" si="9"/>
        <v>39214260</v>
      </c>
      <c r="JX25" s="673">
        <f t="shared" si="38"/>
        <v>39127655.109125361</v>
      </c>
      <c r="JY25" s="673">
        <f t="shared" si="10"/>
        <v>20224278</v>
      </c>
      <c r="JZ25" s="673">
        <f t="shared" si="11"/>
        <v>17591117.38305521</v>
      </c>
      <c r="KA25" s="673">
        <f t="shared" si="39"/>
        <v>225000</v>
      </c>
      <c r="KB25" s="673">
        <f t="shared" si="40"/>
        <v>766521.41440685734</v>
      </c>
      <c r="KC25" s="673">
        <f t="shared" si="41"/>
        <v>20526137.963974897</v>
      </c>
      <c r="KD25" s="673">
        <f t="shared" si="41"/>
        <v>18436924.279818449</v>
      </c>
      <c r="KE25" s="211"/>
      <c r="KF25" s="210"/>
      <c r="KG25" s="209"/>
      <c r="KH25" s="245">
        <f t="shared" si="65"/>
        <v>20</v>
      </c>
      <c r="KI25" s="917">
        <v>19</v>
      </c>
      <c r="KJ25" s="918">
        <f t="shared" si="66"/>
        <v>1</v>
      </c>
      <c r="KK25" s="918">
        <f t="shared" si="66"/>
        <v>1.0020004788656762</v>
      </c>
      <c r="KL25" s="898">
        <v>1.6626666699999999</v>
      </c>
      <c r="KM25" s="801">
        <f t="shared" si="67"/>
        <v>5114568.4670204232</v>
      </c>
      <c r="KN25" s="898">
        <v>1.6626666699999999</v>
      </c>
      <c r="KO25" s="801">
        <f t="shared" si="42"/>
        <v>77583.265331086659</v>
      </c>
      <c r="KP25" s="898">
        <v>1.6626666699999999</v>
      </c>
      <c r="KQ25" s="801">
        <f t="shared" si="43"/>
        <v>1849720.7390984457</v>
      </c>
      <c r="KR25" s="898">
        <v>1.6626666699999999</v>
      </c>
      <c r="KS25" s="801">
        <f t="shared" si="68"/>
        <v>2672487.7015377465</v>
      </c>
      <c r="KT25" s="898">
        <v>1.6626666699999999</v>
      </c>
      <c r="KU25" s="801">
        <f t="shared" si="44"/>
        <v>144111.68147915241</v>
      </c>
      <c r="KV25" s="898">
        <v>1.6626666699999999</v>
      </c>
      <c r="KW25" s="801">
        <f t="shared" si="45"/>
        <v>130724.33762491189</v>
      </c>
      <c r="KX25" s="898">
        <v>1.6626666699999999</v>
      </c>
      <c r="KY25" s="801">
        <f t="shared" si="46"/>
        <v>1119513.1728304473</v>
      </c>
      <c r="KZ25" s="898">
        <v>1.6626666699999999</v>
      </c>
      <c r="LA25" s="919">
        <f t="shared" si="47"/>
        <v>1472663.4320034743</v>
      </c>
      <c r="LB25" s="646">
        <f t="shared" si="48"/>
        <v>12196549.869905207</v>
      </c>
      <c r="LC25" s="646">
        <f t="shared" si="79"/>
        <v>12581372.796925686</v>
      </c>
      <c r="LD25" s="16"/>
      <c r="LE25" s="220"/>
      <c r="LG25" s="222">
        <v>20</v>
      </c>
      <c r="LH25" s="922">
        <v>20</v>
      </c>
      <c r="LI25" s="650">
        <f t="shared" si="12"/>
        <v>17042213.4782</v>
      </c>
      <c r="LJ25" s="650">
        <f t="shared" si="12"/>
        <v>20526137.963974897</v>
      </c>
      <c r="LK25" s="794">
        <f t="shared" si="13"/>
        <v>18436924.279818449</v>
      </c>
      <c r="LL25" s="650">
        <f t="shared" si="14"/>
        <v>14684964.487550676</v>
      </c>
      <c r="LM25" s="650">
        <f t="shared" si="14"/>
        <v>14919461.154238256</v>
      </c>
      <c r="LN25" s="794">
        <f t="shared" si="49"/>
        <v>15390284.004002227</v>
      </c>
      <c r="LO25" s="650">
        <f t="shared" si="50"/>
        <v>2357248.9906493239</v>
      </c>
      <c r="LP25" s="650">
        <f t="shared" si="50"/>
        <v>5606676.8097366411</v>
      </c>
      <c r="LQ25" s="650">
        <f t="shared" si="50"/>
        <v>3046640.2758162227</v>
      </c>
      <c r="MA25" s="312">
        <f>MA24+1</f>
        <v>19</v>
      </c>
      <c r="MB25" s="375" t="s">
        <v>236</v>
      </c>
      <c r="MC25" s="376">
        <f>MC21+MC23-MC10</f>
        <v>129758283.35141294</v>
      </c>
      <c r="MD25" s="377">
        <f>MC25/$MC$34*100</f>
        <v>5.9022341582958866</v>
      </c>
      <c r="ME25" s="375"/>
      <c r="MF25" s="378">
        <f>MF21+MF23-MF10</f>
        <v>129758283.35141294</v>
      </c>
      <c r="MG25" s="377">
        <f>MF25/$MG$34*100</f>
        <v>5.9022341582958866</v>
      </c>
      <c r="MK25" s="312">
        <f>MK24+1</f>
        <v>19</v>
      </c>
      <c r="ML25" s="376" t="str">
        <f>MB25</f>
        <v>Revenue Requirement</v>
      </c>
      <c r="MM25" s="983">
        <v>112402506.16203304</v>
      </c>
      <c r="MN25" s="376">
        <f>MC25</f>
        <v>129758283.35141294</v>
      </c>
      <c r="MO25" s="376">
        <f t="shared" si="70"/>
        <v>17355777.189379901</v>
      </c>
      <c r="MP25" s="944">
        <f t="shared" si="71"/>
        <v>0.15440738629404582</v>
      </c>
    </row>
    <row r="26" spans="1:357" s="29" customFormat="1" ht="17.25" thickBot="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2"/>
      <c r="V26" s="12"/>
      <c r="W26" s="12"/>
      <c r="X26" s="12"/>
      <c r="Y26" s="12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2"/>
      <c r="AK26" s="12"/>
      <c r="AL26" s="299"/>
      <c r="AM26" s="12"/>
      <c r="AN26" s="379"/>
      <c r="AO26" s="380"/>
      <c r="AP26" s="12"/>
      <c r="AQ26" s="15"/>
      <c r="AR26" s="12"/>
      <c r="AS26" s="381"/>
      <c r="AT26" s="381"/>
      <c r="AU26" s="15"/>
      <c r="AV26" s="381"/>
      <c r="AW26" s="381"/>
      <c r="AX26" s="381"/>
      <c r="AY26" s="15"/>
      <c r="AZ26" s="381"/>
      <c r="BA26" s="381"/>
      <c r="BB26" s="381"/>
      <c r="BC26" s="15"/>
      <c r="BD26" s="381"/>
      <c r="BE26" s="381"/>
      <c r="BF26" s="381"/>
      <c r="BG26" s="15"/>
      <c r="BH26" s="381"/>
      <c r="BI26" s="381"/>
      <c r="BJ26" s="381"/>
      <c r="BK26" s="15"/>
      <c r="BL26" s="381"/>
      <c r="BM26" s="381"/>
      <c r="BN26" s="381"/>
      <c r="BO26" s="15"/>
      <c r="BP26" s="381"/>
      <c r="BQ26" s="381"/>
      <c r="BR26" s="381"/>
      <c r="BS26" s="15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12"/>
      <c r="CL26" s="13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3"/>
      <c r="CZ26" s="12"/>
      <c r="DA26" s="12"/>
      <c r="DB26" s="12"/>
      <c r="DC26" s="12"/>
      <c r="DD26" s="16"/>
      <c r="DE26" s="12"/>
      <c r="DF26" s="12"/>
      <c r="DG26" s="12"/>
      <c r="DH26" s="12"/>
      <c r="DI26" s="13"/>
      <c r="DJ26" s="12"/>
      <c r="DK26" s="12"/>
      <c r="DL26" s="12"/>
      <c r="DM26" s="12"/>
      <c r="DN26" s="16"/>
      <c r="DO26" s="12"/>
      <c r="DP26" s="12"/>
      <c r="DQ26" s="12"/>
      <c r="DR26" s="1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3"/>
      <c r="EF26" s="38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3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3"/>
      <c r="FI26" s="12"/>
      <c r="FJ26" s="383">
        <f t="shared" si="78"/>
        <v>21</v>
      </c>
      <c r="FK26" s="384"/>
      <c r="FL26" s="882" t="s">
        <v>237</v>
      </c>
      <c r="FM26" s="880">
        <v>499417.62</v>
      </c>
      <c r="FN26" s="880">
        <v>41431.71</v>
      </c>
      <c r="FO26" s="880">
        <v>265382.31</v>
      </c>
      <c r="FP26" s="881">
        <f t="shared" ref="FP26:FP31" si="113">FM26+FO26+FN26</f>
        <v>806231.6399999999</v>
      </c>
      <c r="FQ26" s="880">
        <v>499417.61999999994</v>
      </c>
      <c r="FR26" s="880">
        <v>41431.71</v>
      </c>
      <c r="FS26" s="880">
        <v>265382.31</v>
      </c>
      <c r="FT26" s="880">
        <v>806231.6399999999</v>
      </c>
      <c r="FU26" s="955">
        <v>806231.6399999999</v>
      </c>
      <c r="FV26" s="16"/>
      <c r="FW26" s="266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3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3"/>
      <c r="GX26" s="12"/>
      <c r="GY26" s="12"/>
      <c r="GZ26" s="302">
        <v>21</v>
      </c>
      <c r="HA26" s="385" t="s">
        <v>71</v>
      </c>
      <c r="HB26" s="385">
        <f>SUM(HB6:HB25)</f>
        <v>202</v>
      </c>
      <c r="HC26" s="385">
        <f>SUM(HC6:HC25)</f>
        <v>221</v>
      </c>
      <c r="HD26" s="386">
        <f>SUM(HD6:HD25)</f>
        <v>2091530523.2727273</v>
      </c>
      <c r="HE26" s="386">
        <f>SUM(HE6:HE25)</f>
        <v>2194071252</v>
      </c>
      <c r="HF26" s="387">
        <f t="shared" si="22"/>
        <v>1.0940594059405941</v>
      </c>
      <c r="HG26" s="387">
        <f t="shared" si="23"/>
        <v>1.0490266470349292</v>
      </c>
      <c r="HH26" s="386"/>
      <c r="HI26" s="386"/>
      <c r="HJ26" s="386"/>
      <c r="HK26" s="190"/>
      <c r="HL26" s="13"/>
      <c r="HM26" s="317"/>
      <c r="HN26" s="388">
        <v>21</v>
      </c>
      <c r="HO26" s="389" t="s">
        <v>71</v>
      </c>
      <c r="HP26" s="390">
        <f t="shared" si="2"/>
        <v>1.0490266470349292</v>
      </c>
      <c r="HQ26" s="391">
        <f t="shared" ref="HQ26:HW26" si="114">SUM(HQ6:HQ25)</f>
        <v>314630.85259999998</v>
      </c>
      <c r="HR26" s="392">
        <f t="shared" si="114"/>
        <v>323903.59259512648</v>
      </c>
      <c r="HS26" s="391">
        <f t="shared" si="114"/>
        <v>232634365.45454544</v>
      </c>
      <c r="HT26" s="392">
        <f t="shared" si="114"/>
        <v>242214042</v>
      </c>
      <c r="HU26" s="391">
        <f t="shared" si="114"/>
        <v>106040187.41487272</v>
      </c>
      <c r="HV26" s="392">
        <f t="shared" si="114"/>
        <v>123895104</v>
      </c>
      <c r="HW26" s="391">
        <f t="shared" si="114"/>
        <v>4505138.589094515</v>
      </c>
      <c r="HX26" s="392">
        <f>SUM(HX6:HX25)</f>
        <v>4786954.6233764458</v>
      </c>
      <c r="HY26" s="391">
        <f>SUM(HQ26,HU26,HW26)</f>
        <v>110859956.85656723</v>
      </c>
      <c r="HZ26" s="391">
        <f>SUM(HR26,HV26,HX26)</f>
        <v>129005962.21597157</v>
      </c>
      <c r="IA26" s="393"/>
      <c r="IB26" s="394"/>
      <c r="IC26" s="393"/>
      <c r="ID26" s="208">
        <v>21</v>
      </c>
      <c r="IE26" s="395" t="s">
        <v>71</v>
      </c>
      <c r="IF26" s="396">
        <f>HF26</f>
        <v>1.0940594059405941</v>
      </c>
      <c r="IG26" s="397">
        <f t="shared" ref="IG26" si="115">HG26</f>
        <v>1.0490266470349292</v>
      </c>
      <c r="IH26" s="398">
        <f t="shared" ref="IH26:IW26" si="116">SUM(IH6:IH25)</f>
        <v>36813199.8476827</v>
      </c>
      <c r="II26" s="399">
        <f t="shared" si="116"/>
        <v>38759425.026482746</v>
      </c>
      <c r="IJ26" s="398">
        <f t="shared" si="116"/>
        <v>1805841.8473045456</v>
      </c>
      <c r="IK26" s="399">
        <f t="shared" si="116"/>
        <v>1927835.2228029165</v>
      </c>
      <c r="IL26" s="398">
        <f t="shared" si="116"/>
        <v>17962433.615376391</v>
      </c>
      <c r="IM26" s="399">
        <f t="shared" si="116"/>
        <v>18604918.663317382</v>
      </c>
      <c r="IN26" s="398">
        <f t="shared" si="116"/>
        <v>23103829.087177191</v>
      </c>
      <c r="IO26" s="399">
        <f t="shared" si="116"/>
        <v>24327750.680698965</v>
      </c>
      <c r="IP26" s="398">
        <f t="shared" si="116"/>
        <v>2229849.6176878791</v>
      </c>
      <c r="IQ26" s="399">
        <f t="shared" si="116"/>
        <v>2404636.0465707122</v>
      </c>
      <c r="IR26" s="398">
        <f t="shared" si="116"/>
        <v>1392570.6222590909</v>
      </c>
      <c r="IS26" s="399">
        <f t="shared" si="116"/>
        <v>1494191.7007989204</v>
      </c>
      <c r="IT26" s="398">
        <f t="shared" si="116"/>
        <v>5942658.7207094552</v>
      </c>
      <c r="IU26" s="399">
        <f t="shared" si="116"/>
        <v>6168270.1152246939</v>
      </c>
      <c r="IV26" s="398">
        <f t="shared" si="116"/>
        <v>12035251.726130454</v>
      </c>
      <c r="IW26" s="399">
        <f t="shared" si="116"/>
        <v>12737461.434445117</v>
      </c>
      <c r="IX26" s="398">
        <f t="shared" si="31"/>
        <v>101285635.08432771</v>
      </c>
      <c r="IY26" s="398">
        <f>II26+IK26+IM26+IO26+IU26+IW26+IQ26+IS26</f>
        <v>106424488.89034145</v>
      </c>
      <c r="IZ26" s="400">
        <f t="shared" si="4"/>
        <v>4.8505484401808046</v>
      </c>
      <c r="JA26" s="190"/>
      <c r="JB26" s="401"/>
      <c r="JC26" s="12"/>
      <c r="JD26" s="302">
        <v>21</v>
      </c>
      <c r="JE26" s="385" t="s">
        <v>71</v>
      </c>
      <c r="JF26" s="344">
        <f>SUM(JF6:JF25)</f>
        <v>221</v>
      </c>
      <c r="JG26" s="344">
        <f>SUM(JG6:JG25)</f>
        <v>219</v>
      </c>
      <c r="JH26" s="402">
        <f>SUM(JH6:JH25)</f>
        <v>2194071252</v>
      </c>
      <c r="JI26" s="1003">
        <f>'DCA 8 month Phase II'!L28</f>
        <v>2198460445.1694136</v>
      </c>
      <c r="JJ26" s="403">
        <f t="shared" si="33"/>
        <v>0.99095022624434392</v>
      </c>
      <c r="JK26" s="403">
        <f t="shared" si="34"/>
        <v>1.0020004788656762</v>
      </c>
      <c r="JL26" s="403">
        <f>LC27/LB28</f>
        <v>1.03372943190564</v>
      </c>
      <c r="JM26" s="404" t="s">
        <v>238</v>
      </c>
      <c r="JN26" s="405"/>
      <c r="JO26" s="406"/>
      <c r="JP26" s="405"/>
      <c r="JQ26" s="192">
        <v>21</v>
      </c>
      <c r="JR26" s="407" t="s">
        <v>71</v>
      </c>
      <c r="JS26" s="408" t="str">
        <f>JM26</f>
        <v>Q3</v>
      </c>
      <c r="JT26" s="409">
        <f t="shared" si="8"/>
        <v>1.03372943190564</v>
      </c>
      <c r="JU26" s="320">
        <f>SUM(JU6:JU25)</f>
        <v>323903.59259512648</v>
      </c>
      <c r="JV26" s="320">
        <f>SUM(JV6:JV25)</f>
        <v>335796.49244503211</v>
      </c>
      <c r="JW26" s="320">
        <f t="shared" si="9"/>
        <v>242214042</v>
      </c>
      <c r="JX26" s="320">
        <f>SUMPRODUCT('DCA 8 month Phase II'!HS4:HS27,'DCA 8 month Phase II'!HX4:HX27)/100</f>
        <v>242446799.6069245</v>
      </c>
      <c r="JY26" s="320">
        <f>SUM(JY6:JY25)</f>
        <v>123895104</v>
      </c>
      <c r="JZ26" s="320">
        <f>SUMPRODUCT('DCA 8 month Phase II'!JI4:JI27,'DCA 8 month Phase II'!JK4:JK27)/100</f>
        <v>108999890.20903042</v>
      </c>
      <c r="KA26" s="320">
        <f>SUM(KA6:KA25)</f>
        <v>4786954.6233764458</v>
      </c>
      <c r="KB26" s="320">
        <f>'DCA 8 month Phase II'!II4*'DCA 8 month Phase II'!IH4</f>
        <v>4749598.8</v>
      </c>
      <c r="KC26" s="320">
        <f>SUM(JU26,JY26,KA26)</f>
        <v>129005962.21597157</v>
      </c>
      <c r="KD26" s="320">
        <f>SUM(JV26,JZ26,KB26)</f>
        <v>114085285.50147545</v>
      </c>
      <c r="KE26" s="405"/>
      <c r="KF26" s="406"/>
      <c r="KG26" s="405"/>
      <c r="KH26" s="243">
        <f t="shared" si="65"/>
        <v>21</v>
      </c>
      <c r="KI26" s="891">
        <v>20</v>
      </c>
      <c r="KJ26" s="920">
        <f t="shared" si="66"/>
        <v>1</v>
      </c>
      <c r="KK26" s="920">
        <f t="shared" si="66"/>
        <v>1.0020004788656762</v>
      </c>
      <c r="KL26" s="683">
        <v>1.6626666699999999</v>
      </c>
      <c r="KM26" s="794">
        <f t="shared" si="67"/>
        <v>6057319.6145716589</v>
      </c>
      <c r="KN26" s="683">
        <v>1.6626666699999999</v>
      </c>
      <c r="KO26" s="895">
        <f t="shared" si="42"/>
        <v>232386.03636218797</v>
      </c>
      <c r="KP26" s="683">
        <v>1.6626666699999999</v>
      </c>
      <c r="KQ26" s="794">
        <f t="shared" si="43"/>
        <v>2712238.4456101679</v>
      </c>
      <c r="KR26" s="683">
        <v>1.6626666699999999</v>
      </c>
      <c r="KS26" s="895">
        <f t="shared" si="68"/>
        <v>2775970.3621790558</v>
      </c>
      <c r="KT26" s="683">
        <v>1.6626666699999999</v>
      </c>
      <c r="KU26" s="895">
        <f t="shared" si="44"/>
        <v>425196.140667125</v>
      </c>
      <c r="KV26" s="683">
        <v>1.6626666699999999</v>
      </c>
      <c r="KW26" s="895">
        <f t="shared" si="45"/>
        <v>165907.40807188087</v>
      </c>
      <c r="KX26" s="683">
        <v>1.6626666699999999</v>
      </c>
      <c r="KY26" s="895">
        <f t="shared" si="46"/>
        <v>1317101.2776152168</v>
      </c>
      <c r="KZ26" s="683">
        <v>1.6626666699999999</v>
      </c>
      <c r="LA26" s="794">
        <f t="shared" si="47"/>
        <v>1704164.7189249322</v>
      </c>
      <c r="LB26" s="650">
        <f t="shared" si="48"/>
        <v>14919461.154238256</v>
      </c>
      <c r="LC26" s="650">
        <f t="shared" si="79"/>
        <v>15390284.004002227</v>
      </c>
      <c r="LD26" s="16"/>
      <c r="LE26" s="13"/>
      <c r="LF26" s="12"/>
      <c r="LG26" s="192">
        <v>21</v>
      </c>
      <c r="LH26" s="410" t="s">
        <v>71</v>
      </c>
      <c r="LI26" s="320">
        <f>SUM(LI6:LI25)</f>
        <v>110859956.85656722</v>
      </c>
      <c r="LJ26" s="320">
        <f t="shared" ref="LJ26:LN26" si="117">SUM(LJ6:LJ25)</f>
        <v>129005962.21597156</v>
      </c>
      <c r="LK26" s="321">
        <f t="shared" si="117"/>
        <v>114085285.50147545</v>
      </c>
      <c r="LL26" s="320">
        <f t="shared" si="117"/>
        <v>101285635.0843277</v>
      </c>
      <c r="LM26" s="320">
        <f t="shared" si="117"/>
        <v>106424488.89034146</v>
      </c>
      <c r="LN26" s="321">
        <f t="shared" si="117"/>
        <v>110014126.44146074</v>
      </c>
      <c r="LO26" s="320">
        <f t="shared" si="50"/>
        <v>9574321.7722395211</v>
      </c>
      <c r="LP26" s="320">
        <f t="shared" si="50"/>
        <v>22581473.325630099</v>
      </c>
      <c r="LQ26" s="320">
        <f t="shared" si="50"/>
        <v>4071159.0600147098</v>
      </c>
      <c r="LR26" s="12"/>
      <c r="LS26" s="13"/>
      <c r="LT26" s="12"/>
      <c r="LU26" s="12"/>
      <c r="LV26" s="12"/>
      <c r="LW26" s="12"/>
      <c r="LX26" s="12"/>
      <c r="LY26" s="13"/>
      <c r="LZ26" s="12"/>
      <c r="MA26" s="222">
        <f>MA25+1</f>
        <v>20</v>
      </c>
      <c r="MB26" s="650" t="s">
        <v>239</v>
      </c>
      <c r="MC26" s="650">
        <v>0</v>
      </c>
      <c r="MD26" s="747">
        <f>MC26/$MC$34*100</f>
        <v>0</v>
      </c>
      <c r="ME26" s="934"/>
      <c r="MF26" s="792">
        <f>MC26</f>
        <v>0</v>
      </c>
      <c r="MG26" s="747">
        <f>MF26/$MC$34*100</f>
        <v>0</v>
      </c>
      <c r="MH26" s="12"/>
      <c r="MI26" s="13"/>
      <c r="MJ26" s="12"/>
      <c r="MK26" s="222">
        <f>MK25+1</f>
        <v>20</v>
      </c>
      <c r="ML26" s="650" t="s">
        <v>239</v>
      </c>
      <c r="MM26" s="979">
        <v>0</v>
      </c>
      <c r="MN26" s="650">
        <f>MC26</f>
        <v>0</v>
      </c>
      <c r="MO26" s="650">
        <f t="shared" si="70"/>
        <v>0</v>
      </c>
      <c r="MP26" s="723">
        <f>IFERROR(MO26/MM26,0)</f>
        <v>0</v>
      </c>
      <c r="MQ26" s="12"/>
      <c r="MR26" s="13"/>
      <c r="MS26" s="12"/>
    </row>
    <row r="27" spans="1:357" ht="17.25" thickBot="1" x14ac:dyDescent="0.35">
      <c r="G27" s="411"/>
      <c r="H27" s="411"/>
      <c r="I27" s="411"/>
      <c r="J27" s="411"/>
      <c r="O27" s="411"/>
      <c r="AL27" s="299"/>
      <c r="AN27" s="287"/>
      <c r="AS27" s="19"/>
      <c r="AT27" s="235"/>
      <c r="AV27" s="19"/>
      <c r="AW27" s="235"/>
      <c r="AX27" s="236"/>
      <c r="AZ27" s="19"/>
      <c r="BA27" s="235"/>
      <c r="BB27" s="236"/>
      <c r="BD27" s="19"/>
      <c r="BE27" s="235"/>
      <c r="BF27" s="236"/>
      <c r="BH27" s="19"/>
      <c r="BI27" s="235"/>
      <c r="BJ27" s="236"/>
      <c r="BL27" s="19"/>
      <c r="BM27" s="235"/>
      <c r="BN27" s="236"/>
      <c r="BP27" s="19"/>
      <c r="BQ27" s="235"/>
      <c r="BR27" s="236"/>
      <c r="BT27" s="19"/>
      <c r="BU27" s="235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19"/>
      <c r="CH27" s="236"/>
      <c r="CI27" s="236"/>
      <c r="CJ27" s="236"/>
      <c r="DU27" s="12"/>
      <c r="DV27" s="12"/>
      <c r="DW27" s="12"/>
      <c r="DX27" s="12"/>
      <c r="DY27" s="12"/>
      <c r="ED27" s="382"/>
      <c r="FJ27" s="222">
        <f t="shared" si="78"/>
        <v>22</v>
      </c>
      <c r="FK27" s="242"/>
      <c r="FL27" s="877" t="s">
        <v>240</v>
      </c>
      <c r="FM27" s="650">
        <v>0</v>
      </c>
      <c r="FN27" s="650">
        <v>26629</v>
      </c>
      <c r="FO27" s="650">
        <v>20428.21</v>
      </c>
      <c r="FP27" s="794">
        <f t="shared" si="113"/>
        <v>47057.21</v>
      </c>
      <c r="FQ27" s="650">
        <v>0</v>
      </c>
      <c r="FR27" s="650">
        <v>26629</v>
      </c>
      <c r="FS27" s="650">
        <v>20428.210000000003</v>
      </c>
      <c r="FT27" s="650">
        <v>47057.210000000006</v>
      </c>
      <c r="FU27" s="955">
        <v>47057.210000000006</v>
      </c>
      <c r="FV27" s="16"/>
      <c r="FW27" s="266"/>
      <c r="GZ27" s="412"/>
      <c r="HM27" s="5"/>
      <c r="HN27" s="413">
        <v>22</v>
      </c>
      <c r="HO27" s="414" t="s">
        <v>241</v>
      </c>
      <c r="HP27" s="415"/>
      <c r="HQ27" s="416"/>
      <c r="HR27" s="417">
        <f>HR26/HQ26</f>
        <v>1.029471807734365</v>
      </c>
      <c r="HS27" s="416"/>
      <c r="HT27" s="417">
        <f>HT26/HS26</f>
        <v>1.0411791118080804</v>
      </c>
      <c r="HU27" s="416"/>
      <c r="HV27" s="417">
        <f>HV26/HU26</f>
        <v>1.1683787724296593</v>
      </c>
      <c r="HW27" s="416"/>
      <c r="HX27" s="417">
        <f>HX26/HW26</f>
        <v>1.0625543540356597</v>
      </c>
      <c r="HY27" s="416"/>
      <c r="HZ27" s="418">
        <f>HZ26/HY26</f>
        <v>1.1636840377169007</v>
      </c>
      <c r="IA27" s="419"/>
      <c r="IB27" s="420"/>
      <c r="IC27" s="419"/>
      <c r="ID27" s="421">
        <v>22</v>
      </c>
      <c r="IE27" s="416" t="s">
        <v>241</v>
      </c>
      <c r="IF27" s="422"/>
      <c r="IG27" s="422"/>
      <c r="IH27" s="423"/>
      <c r="II27" s="424">
        <f>II26/IH26</f>
        <v>1.0528675906156677</v>
      </c>
      <c r="IJ27" s="423"/>
      <c r="IK27" s="424">
        <f>IK26/IJ26</f>
        <v>1.0675548502104224</v>
      </c>
      <c r="IL27" s="423"/>
      <c r="IM27" s="424">
        <f>IM26/IL26</f>
        <v>1.0357682629034746</v>
      </c>
      <c r="IN27" s="423"/>
      <c r="IO27" s="424">
        <f>IO26/IN26</f>
        <v>1.0529748375865999</v>
      </c>
      <c r="IP27" s="425"/>
      <c r="IQ27" s="424">
        <f>IQ26/IP26</f>
        <v>1.078384850483356</v>
      </c>
      <c r="IR27" s="425"/>
      <c r="IS27" s="424">
        <f>IS26/IR26</f>
        <v>1.0729737342692001</v>
      </c>
      <c r="IT27" s="423"/>
      <c r="IU27" s="424">
        <f>IU26/IT26</f>
        <v>1.0379647233870271</v>
      </c>
      <c r="IV27" s="423"/>
      <c r="IW27" s="424">
        <f>IW26/IV26</f>
        <v>1.058346075702767</v>
      </c>
      <c r="IX27" s="425"/>
      <c r="IY27" s="426">
        <f>IY26/IX26</f>
        <v>1.0507362549658228</v>
      </c>
      <c r="IZ27" s="426"/>
      <c r="JA27" s="236"/>
      <c r="JB27" s="299"/>
      <c r="JH27" s="235"/>
      <c r="JO27" s="427"/>
      <c r="JP27" s="428"/>
      <c r="JQ27" s="429">
        <v>22</v>
      </c>
      <c r="JR27" s="430" t="s">
        <v>242</v>
      </c>
      <c r="JS27" s="430"/>
      <c r="JT27" s="430"/>
      <c r="JU27" s="425"/>
      <c r="JV27" s="431">
        <f>JV26/JU26</f>
        <v>1.0367174064190499</v>
      </c>
      <c r="JW27" s="423"/>
      <c r="JX27" s="431">
        <f>JX26/JW26</f>
        <v>1.0009609583532093</v>
      </c>
      <c r="JY27" s="423"/>
      <c r="JZ27" s="431">
        <f>JZ26/JY26</f>
        <v>0.87977560605647842</v>
      </c>
      <c r="KA27" s="432"/>
      <c r="KB27" s="432">
        <f>KB26/KA26</f>
        <v>0.99219632808006497</v>
      </c>
      <c r="KC27" s="423"/>
      <c r="KD27" s="432">
        <f>KD26/KC26</f>
        <v>0.88434118502587422</v>
      </c>
      <c r="KE27" s="428"/>
      <c r="KF27" s="427"/>
      <c r="KG27" s="428"/>
      <c r="KH27" s="433">
        <f t="shared" si="65"/>
        <v>22</v>
      </c>
      <c r="KI27" s="434" t="s">
        <v>71</v>
      </c>
      <c r="KJ27" s="435">
        <f t="shared" si="66"/>
        <v>0.99095022624434392</v>
      </c>
      <c r="KK27" s="435">
        <f t="shared" si="66"/>
        <v>1.0020004788656762</v>
      </c>
      <c r="KL27" s="436"/>
      <c r="KM27" s="437">
        <f>SUM(KM7:KM26)</f>
        <v>40150541.638328679</v>
      </c>
      <c r="KN27" s="438"/>
      <c r="KO27" s="439">
        <f>SUM(KO7:KO26)</f>
        <v>1997891.2124798703</v>
      </c>
      <c r="KP27" s="440"/>
      <c r="KQ27" s="437">
        <f>SUM(KQ7:KQ26)</f>
        <v>19173425.776259005</v>
      </c>
      <c r="KR27" s="441"/>
      <c r="KS27" s="439">
        <f>SUM(KS7:KS26)</f>
        <v>25073716.728897151</v>
      </c>
      <c r="KT27" s="442"/>
      <c r="KU27" s="439">
        <f>SUM(KU7:KU26)</f>
        <v>2491543.2884373907</v>
      </c>
      <c r="KV27" s="442"/>
      <c r="KW27" s="439">
        <f>SUM(KW7:KW26)</f>
        <v>1547949.3801865899</v>
      </c>
      <c r="KX27" s="442"/>
      <c r="KY27" s="439">
        <f>SUM(KY7:KY26)</f>
        <v>6383393.3519198252</v>
      </c>
      <c r="KZ27" s="442"/>
      <c r="LA27" s="437">
        <f>SUM(LA7:LA26)</f>
        <v>13195665.064952241</v>
      </c>
      <c r="LB27" s="439"/>
      <c r="LC27" s="439">
        <f>KM27+KO27+KQ27+KS27+KY27+LA27+KU27+KW27</f>
        <v>110014126.44146076</v>
      </c>
      <c r="LD27" s="16"/>
      <c r="LE27" s="443"/>
      <c r="LG27" s="5"/>
      <c r="LI27" s="953" t="s">
        <v>243</v>
      </c>
      <c r="LJ27" s="444"/>
      <c r="LK27" s="204"/>
      <c r="LL27" s="204"/>
      <c r="LM27" s="204"/>
      <c r="LN27" s="204"/>
      <c r="LO27" s="204"/>
      <c r="LP27" s="204"/>
      <c r="MA27" s="312">
        <f>MA26+1</f>
        <v>21</v>
      </c>
      <c r="MB27" s="935" t="s">
        <v>244</v>
      </c>
      <c r="MC27" s="935">
        <v>0</v>
      </c>
      <c r="MD27" s="936">
        <f>MC27/$MC$34*100</f>
        <v>0</v>
      </c>
      <c r="ME27" s="803"/>
      <c r="MF27" s="937">
        <f>MC27</f>
        <v>0</v>
      </c>
      <c r="MG27" s="936">
        <f>MF27/$MC$34*100</f>
        <v>0</v>
      </c>
      <c r="MK27" s="312">
        <f>MK26+1</f>
        <v>21</v>
      </c>
      <c r="ML27" s="935" t="s">
        <v>244</v>
      </c>
      <c r="MM27" s="980">
        <v>0</v>
      </c>
      <c r="MN27" s="935">
        <v>0</v>
      </c>
      <c r="MO27" s="935">
        <f t="shared" si="70"/>
        <v>0</v>
      </c>
      <c r="MP27" s="944">
        <f>IFERROR(MO27/MM27,0)</f>
        <v>0</v>
      </c>
    </row>
    <row r="28" spans="1:357" s="29" customFormat="1" ht="17.25" thickBot="1" x14ac:dyDescent="0.35">
      <c r="A28" s="12"/>
      <c r="B28" s="462"/>
      <c r="C28" s="462"/>
      <c r="D28" s="462"/>
      <c r="E28" s="462"/>
      <c r="F28" s="462"/>
      <c r="G28" s="462"/>
      <c r="H28" s="462"/>
      <c r="I28" s="462"/>
      <c r="J28" s="462"/>
      <c r="K28" s="12"/>
      <c r="L28" s="12"/>
      <c r="M28" s="12"/>
      <c r="N28" s="462"/>
      <c r="O28" s="411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299"/>
      <c r="AM28" s="12"/>
      <c r="AN28" s="287"/>
      <c r="AO28" s="12"/>
      <c r="AP28" s="12"/>
      <c r="AQ28" s="12"/>
      <c r="AR28" s="12"/>
      <c r="AS28" s="19"/>
      <c r="AT28" s="235"/>
      <c r="AU28" s="12"/>
      <c r="AV28" s="19"/>
      <c r="AW28" s="235"/>
      <c r="AX28" s="236"/>
      <c r="AY28" s="12"/>
      <c r="AZ28" s="19"/>
      <c r="BA28" s="235"/>
      <c r="BB28" s="236"/>
      <c r="BC28" s="12"/>
      <c r="BD28" s="19"/>
      <c r="BE28" s="235"/>
      <c r="BF28" s="236"/>
      <c r="BG28" s="12"/>
      <c r="BH28" s="19"/>
      <c r="BI28" s="235"/>
      <c r="BJ28" s="236"/>
      <c r="BK28" s="12"/>
      <c r="BL28" s="19"/>
      <c r="BM28" s="235"/>
      <c r="BN28" s="236"/>
      <c r="BO28" s="12"/>
      <c r="BP28" s="19"/>
      <c r="BQ28" s="235"/>
      <c r="BR28" s="236"/>
      <c r="BS28" s="12"/>
      <c r="BT28" s="19"/>
      <c r="BU28" s="235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19"/>
      <c r="CG28" s="12"/>
      <c r="CH28" s="236"/>
      <c r="CI28" s="236"/>
      <c r="CJ28" s="236"/>
      <c r="CK28" s="12"/>
      <c r="CL28" s="13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3"/>
      <c r="CZ28" s="12"/>
      <c r="DA28" s="12"/>
      <c r="DB28" s="12"/>
      <c r="DC28" s="12"/>
      <c r="DD28" s="16"/>
      <c r="DE28" s="12"/>
      <c r="DF28" s="12"/>
      <c r="DG28" s="12"/>
      <c r="DH28" s="12"/>
      <c r="DI28" s="13"/>
      <c r="DJ28" s="12"/>
      <c r="DK28" s="12"/>
      <c r="DL28" s="12"/>
      <c r="DM28" s="12"/>
      <c r="DN28" s="16"/>
      <c r="DO28" s="12"/>
      <c r="DP28" s="12"/>
      <c r="DQ28" s="12"/>
      <c r="DR28" s="13"/>
      <c r="DS28" s="12"/>
      <c r="DT28" s="12"/>
      <c r="DU28" s="17"/>
      <c r="DV28" s="18"/>
      <c r="DW28" s="18"/>
      <c r="DX28" s="18"/>
      <c r="DY28" s="18"/>
      <c r="DZ28" s="12"/>
      <c r="EA28" s="12"/>
      <c r="EB28" s="12"/>
      <c r="EC28" s="12"/>
      <c r="ED28" s="12"/>
      <c r="EE28" s="13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3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3"/>
      <c r="FI28" s="12"/>
      <c r="FJ28" s="383">
        <f t="shared" si="78"/>
        <v>23</v>
      </c>
      <c r="FK28" s="384"/>
      <c r="FL28" s="882" t="s">
        <v>245</v>
      </c>
      <c r="FM28" s="880">
        <v>59179</v>
      </c>
      <c r="FN28" s="880">
        <v>53103</v>
      </c>
      <c r="FO28" s="880">
        <v>52452</v>
      </c>
      <c r="FP28" s="881">
        <f t="shared" si="113"/>
        <v>164734</v>
      </c>
      <c r="FQ28" s="880">
        <v>0</v>
      </c>
      <c r="FR28" s="880">
        <v>0</v>
      </c>
      <c r="FS28" s="880">
        <v>0</v>
      </c>
      <c r="FT28" s="880">
        <v>0</v>
      </c>
      <c r="FU28" s="955">
        <v>0</v>
      </c>
      <c r="FV28" s="16"/>
      <c r="FW28" s="266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3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3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401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3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952" t="s">
        <v>246</v>
      </c>
      <c r="IY28" s="12"/>
      <c r="IZ28" s="12"/>
      <c r="JA28" s="12"/>
      <c r="JB28" s="13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445"/>
      <c r="JP28" s="446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446"/>
      <c r="KD28" s="446"/>
      <c r="KE28" s="446"/>
      <c r="KF28" s="445"/>
      <c r="KG28" s="446"/>
      <c r="KH28" s="447">
        <f t="shared" si="65"/>
        <v>23</v>
      </c>
      <c r="KI28" s="430" t="s">
        <v>242</v>
      </c>
      <c r="KJ28" s="448"/>
      <c r="KK28" s="449"/>
      <c r="KL28" s="450">
        <f>II26</f>
        <v>38759425.026482746</v>
      </c>
      <c r="KM28" s="431">
        <f>KM27/KL28</f>
        <v>1.0358910538764556</v>
      </c>
      <c r="KN28" s="450">
        <f>IK26</f>
        <v>1927835.2228029165</v>
      </c>
      <c r="KO28" s="431">
        <f>KO27/KN28</f>
        <v>1.0363391999732727</v>
      </c>
      <c r="KP28" s="450">
        <f>IM26</f>
        <v>18604918.663317382</v>
      </c>
      <c r="KQ28" s="431">
        <f>KQ27/KP28</f>
        <v>1.0305568179699989</v>
      </c>
      <c r="KR28" s="451">
        <f>IO26</f>
        <v>24327750.680698965</v>
      </c>
      <c r="KS28" s="431">
        <f>KS27/IO26</f>
        <v>1.0306631738375227</v>
      </c>
      <c r="KT28" s="450">
        <f>IQ26</f>
        <v>2404636.0465707122</v>
      </c>
      <c r="KU28" s="431">
        <f>KU27/KT28</f>
        <v>1.0361415366747988</v>
      </c>
      <c r="KV28" s="450">
        <f>IS26</f>
        <v>1494191.7007989204</v>
      </c>
      <c r="KW28" s="431">
        <f>KW27/KV28</f>
        <v>1.0359777660115006</v>
      </c>
      <c r="KX28" s="450">
        <f>IU26</f>
        <v>6168270.1152246939</v>
      </c>
      <c r="KY28" s="431">
        <f>KY27/KX28</f>
        <v>1.03487578083913</v>
      </c>
      <c r="KZ28" s="450">
        <f>IW26</f>
        <v>12737461.434445117</v>
      </c>
      <c r="LA28" s="431">
        <f>LA27/KZ28</f>
        <v>1.0359729160214006</v>
      </c>
      <c r="LB28" s="450">
        <f>IY26</f>
        <v>106424488.89034145</v>
      </c>
      <c r="LC28" s="432">
        <f>LC27/LB28</f>
        <v>1.03372943190564</v>
      </c>
      <c r="LD28" s="452"/>
      <c r="LE28" s="13"/>
      <c r="LF28" s="12"/>
      <c r="LG28" s="12"/>
      <c r="LH28" s="12"/>
      <c r="LI28" s="355">
        <f>LI26-LL26</f>
        <v>9574321.7722395211</v>
      </c>
      <c r="LJ28" s="355">
        <f>LJ26-LM26</f>
        <v>22581473.325630099</v>
      </c>
      <c r="LK28" s="355">
        <f>LK26-LN26</f>
        <v>4071159.0600147098</v>
      </c>
      <c r="LL28" s="12"/>
      <c r="LM28" s="12"/>
      <c r="LN28" s="12"/>
      <c r="LO28" s="12"/>
      <c r="LP28" s="12"/>
      <c r="LQ28" s="12"/>
      <c r="LR28" s="12"/>
      <c r="LS28" s="13"/>
      <c r="LT28" s="12"/>
      <c r="LU28" s="12"/>
      <c r="LV28" s="12"/>
      <c r="LW28" s="12"/>
      <c r="LX28" s="12"/>
      <c r="LY28" s="13"/>
      <c r="LZ28" s="12"/>
      <c r="MA28" s="222">
        <f t="shared" ref="MA28:MA31" si="118">MA27+1</f>
        <v>22</v>
      </c>
      <c r="MB28" s="453" t="s">
        <v>247</v>
      </c>
      <c r="MC28" s="454">
        <f>SUM(MC25:MC27)</f>
        <v>129758283.35141294</v>
      </c>
      <c r="MD28" s="455">
        <f>MC28/$MC$34*100</f>
        <v>5.9022341582958866</v>
      </c>
      <c r="ME28" s="307"/>
      <c r="MF28" s="456">
        <f>SUM(MF25:MF27)</f>
        <v>129758283.35141294</v>
      </c>
      <c r="MG28" s="455">
        <f>MF28/$MC$34*100</f>
        <v>5.9022341582958866</v>
      </c>
      <c r="MH28" s="12"/>
      <c r="MI28" s="13"/>
      <c r="MJ28" s="12"/>
      <c r="MK28" s="222">
        <f t="shared" ref="MK28:MK32" si="119">MK27+1</f>
        <v>22</v>
      </c>
      <c r="ML28" s="453" t="s">
        <v>247</v>
      </c>
      <c r="MM28" s="984">
        <v>112402506.16203304</v>
      </c>
      <c r="MN28" s="454">
        <f>MN25+MN26+MN27</f>
        <v>129758283.35141294</v>
      </c>
      <c r="MO28" s="309">
        <f t="shared" si="70"/>
        <v>17355777.189379901</v>
      </c>
      <c r="MP28" s="723">
        <f t="shared" si="71"/>
        <v>0.15440738629404582</v>
      </c>
      <c r="MQ28" s="12"/>
      <c r="MR28" s="13"/>
      <c r="MS28" s="12"/>
    </row>
    <row r="29" spans="1:357" ht="16.5" x14ac:dyDescent="0.3">
      <c r="B29" s="462"/>
      <c r="C29" s="462"/>
      <c r="D29" s="462"/>
      <c r="E29" s="462"/>
      <c r="F29" s="462"/>
      <c r="G29" s="462"/>
      <c r="H29" s="462"/>
      <c r="I29" s="462"/>
      <c r="J29" s="462"/>
      <c r="N29" s="462"/>
      <c r="AL29" s="299"/>
      <c r="AN29" s="287"/>
      <c r="AS29" s="19"/>
      <c r="AT29" s="235"/>
      <c r="AV29" s="19"/>
      <c r="AW29" s="235"/>
      <c r="AX29" s="236"/>
      <c r="AZ29" s="19"/>
      <c r="BA29" s="235"/>
      <c r="BB29" s="236"/>
      <c r="BD29" s="19"/>
      <c r="BE29" s="235"/>
      <c r="BF29" s="236"/>
      <c r="BH29" s="19"/>
      <c r="BI29" s="235"/>
      <c r="BJ29" s="236"/>
      <c r="BL29" s="19"/>
      <c r="BM29" s="235"/>
      <c r="BN29" s="236"/>
      <c r="BP29" s="19"/>
      <c r="BQ29" s="235"/>
      <c r="BR29" s="236"/>
      <c r="BT29" s="19"/>
      <c r="BU29" s="235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19"/>
      <c r="CH29" s="236"/>
      <c r="CI29" s="236"/>
      <c r="CJ29" s="236"/>
      <c r="FJ29" s="222">
        <f t="shared" si="78"/>
        <v>24</v>
      </c>
      <c r="FK29" s="242"/>
      <c r="FL29" s="877" t="s">
        <v>248</v>
      </c>
      <c r="FM29" s="650">
        <v>10863</v>
      </c>
      <c r="FN29" s="650">
        <v>82972.12999999999</v>
      </c>
      <c r="FO29" s="650">
        <v>103206.25</v>
      </c>
      <c r="FP29" s="794">
        <f t="shared" si="113"/>
        <v>197041.38</v>
      </c>
      <c r="FQ29" s="650">
        <v>10863</v>
      </c>
      <c r="FR29" s="650">
        <v>82972.12999999999</v>
      </c>
      <c r="FS29" s="650">
        <v>103206.25</v>
      </c>
      <c r="FT29" s="650">
        <v>197041.38</v>
      </c>
      <c r="FU29" s="955">
        <v>197041.38</v>
      </c>
      <c r="FV29" s="16"/>
      <c r="FW29" s="266"/>
      <c r="IK29" s="12"/>
      <c r="IM29" s="12"/>
      <c r="IX29" s="952" t="s">
        <v>249</v>
      </c>
      <c r="IZ29" s="236"/>
      <c r="JA29" s="236"/>
      <c r="JB29" s="299"/>
      <c r="JO29" s="445"/>
      <c r="JP29" s="446"/>
      <c r="JQ29" s="446"/>
      <c r="JR29" s="446"/>
      <c r="JS29" s="446"/>
      <c r="JT29" s="446"/>
      <c r="JU29" s="446"/>
      <c r="JW29" s="446"/>
      <c r="JX29" s="457"/>
      <c r="JY29" s="446"/>
      <c r="JZ29" s="457"/>
      <c r="KA29" s="457"/>
      <c r="KB29" s="457"/>
      <c r="KC29" s="446"/>
      <c r="KD29" s="446"/>
      <c r="KE29" s="446"/>
      <c r="KF29" s="445"/>
      <c r="KG29" s="446"/>
      <c r="KM29" s="236"/>
      <c r="KO29" s="236"/>
      <c r="KQ29" s="236"/>
      <c r="KR29" s="12"/>
      <c r="KU29" s="236"/>
      <c r="KV29" s="236"/>
      <c r="KW29" s="236"/>
      <c r="KY29" s="236"/>
      <c r="LA29" s="236"/>
      <c r="LC29" s="236"/>
      <c r="LD29" s="411"/>
      <c r="MA29" s="192">
        <f t="shared" si="118"/>
        <v>23</v>
      </c>
      <c r="MB29" s="291" t="s">
        <v>250</v>
      </c>
      <c r="MC29" s="458">
        <f>MC11</f>
        <v>4749598.8</v>
      </c>
      <c r="MD29" s="331">
        <f t="shared" ref="MD29" si="120">MC29/$MC$34*100</f>
        <v>0.21604204025758561</v>
      </c>
      <c r="ME29" s="458">
        <f t="shared" ref="ME29:MF29" si="121">ME11</f>
        <v>0</v>
      </c>
      <c r="MF29" s="459">
        <f t="shared" si="121"/>
        <v>4749598.8</v>
      </c>
      <c r="MG29" s="331">
        <f t="shared" ref="MG29" si="122">MF29/$MC$34*100</f>
        <v>0.21604204025758561</v>
      </c>
      <c r="MK29" s="192">
        <f t="shared" si="119"/>
        <v>23</v>
      </c>
      <c r="ML29" s="291" t="s">
        <v>250</v>
      </c>
      <c r="MM29" s="984">
        <v>4758928.0499999989</v>
      </c>
      <c r="MN29" s="458">
        <f>MC29</f>
        <v>4749598.8</v>
      </c>
      <c r="MO29" s="320">
        <f t="shared" si="70"/>
        <v>-9329.2499999990687</v>
      </c>
      <c r="MP29" s="802">
        <f t="shared" si="71"/>
        <v>-1.9603679446254857E-3</v>
      </c>
    </row>
    <row r="30" spans="1:357" s="29" customFormat="1" ht="16.5" x14ac:dyDescent="0.3">
      <c r="A30" s="12"/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11"/>
      <c r="P30" s="12"/>
      <c r="Q30" s="12"/>
      <c r="R30" s="12"/>
      <c r="S30" s="12"/>
      <c r="T30" s="13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/>
      <c r="AF30" s="12"/>
      <c r="AG30" s="12"/>
      <c r="AH30" s="12"/>
      <c r="AI30" s="12"/>
      <c r="AJ30" s="12"/>
      <c r="AK30" s="12"/>
      <c r="AL30" s="299"/>
      <c r="AM30" s="12"/>
      <c r="AN30" s="287"/>
      <c r="AO30" s="12"/>
      <c r="AP30" s="12"/>
      <c r="AQ30" s="12"/>
      <c r="AR30" s="12"/>
      <c r="AS30" s="19"/>
      <c r="AT30" s="235"/>
      <c r="AU30" s="12"/>
      <c r="AV30" s="19"/>
      <c r="AW30" s="235"/>
      <c r="AX30" s="236"/>
      <c r="AY30" s="12"/>
      <c r="AZ30" s="19"/>
      <c r="BA30" s="235"/>
      <c r="BB30" s="236"/>
      <c r="BC30" s="12"/>
      <c r="BD30" s="19"/>
      <c r="BE30" s="235"/>
      <c r="BF30" s="236"/>
      <c r="BG30" s="12"/>
      <c r="BH30" s="19"/>
      <c r="BI30" s="235"/>
      <c r="BJ30" s="236"/>
      <c r="BK30" s="12"/>
      <c r="BL30" s="19"/>
      <c r="BM30" s="235"/>
      <c r="BN30" s="236"/>
      <c r="BO30" s="12"/>
      <c r="BP30" s="19"/>
      <c r="BQ30" s="235"/>
      <c r="BR30" s="236"/>
      <c r="BS30" s="12"/>
      <c r="BT30" s="19"/>
      <c r="BU30" s="235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19"/>
      <c r="CG30" s="12"/>
      <c r="CH30" s="236"/>
      <c r="CI30" s="236"/>
      <c r="CJ30" s="236"/>
      <c r="CK30" s="12"/>
      <c r="CL30" s="13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3"/>
      <c r="CZ30" s="12"/>
      <c r="DA30" s="12"/>
      <c r="DB30" s="12"/>
      <c r="DC30" s="12"/>
      <c r="DD30" s="16"/>
      <c r="DE30" s="12"/>
      <c r="DF30" s="12"/>
      <c r="DG30" s="12"/>
      <c r="DH30" s="12"/>
      <c r="DI30" s="13"/>
      <c r="DJ30" s="12"/>
      <c r="DK30" s="12"/>
      <c r="DL30" s="12"/>
      <c r="DM30" s="12"/>
      <c r="DN30" s="16"/>
      <c r="DO30" s="12"/>
      <c r="DP30" s="12"/>
      <c r="DQ30" s="12"/>
      <c r="DR30" s="13"/>
      <c r="DS30" s="12"/>
      <c r="DT30" s="12"/>
      <c r="DU30" s="17"/>
      <c r="DV30" s="18"/>
      <c r="DW30" s="18"/>
      <c r="DX30" s="18"/>
      <c r="DY30" s="18"/>
      <c r="DZ30" s="12"/>
      <c r="EA30" s="12"/>
      <c r="EB30" s="12"/>
      <c r="EC30" s="12"/>
      <c r="ED30" s="12"/>
      <c r="EE30" s="13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3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3"/>
      <c r="FI30" s="12"/>
      <c r="FJ30" s="383">
        <f t="shared" si="78"/>
        <v>25</v>
      </c>
      <c r="FK30" s="384"/>
      <c r="FL30" s="882" t="s">
        <v>251</v>
      </c>
      <c r="FM30" s="880">
        <v>400444.33639999997</v>
      </c>
      <c r="FN30" s="880">
        <v>248442.43</v>
      </c>
      <c r="FO30" s="880">
        <v>370902.63</v>
      </c>
      <c r="FP30" s="881">
        <f t="shared" si="113"/>
        <v>1019789.3964</v>
      </c>
      <c r="FQ30" s="880">
        <v>400453.42730909091</v>
      </c>
      <c r="FR30" s="880">
        <v>248442.43000000002</v>
      </c>
      <c r="FS30" s="880">
        <v>370902.63</v>
      </c>
      <c r="FT30" s="880">
        <v>1019798.487309091</v>
      </c>
      <c r="FU30" s="955">
        <v>1019798.487309091</v>
      </c>
      <c r="FV30" s="16"/>
      <c r="FW30" s="266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3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3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3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3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3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445"/>
      <c r="JP30" s="446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446"/>
      <c r="KF30" s="445"/>
      <c r="KG30" s="446"/>
      <c r="KH30" s="189"/>
      <c r="KI30" s="189"/>
      <c r="KJ30" s="189"/>
      <c r="KK30" s="189"/>
      <c r="KL30" s="189"/>
      <c r="KM30" s="460"/>
      <c r="KN30" s="460"/>
      <c r="KO30" s="461"/>
      <c r="KP30" s="189"/>
      <c r="KQ30" s="461"/>
      <c r="KR30" s="12"/>
      <c r="KS30" s="12"/>
      <c r="KT30" s="12"/>
      <c r="KU30" s="12"/>
      <c r="KV30" s="12"/>
      <c r="KW30" s="12"/>
      <c r="KX30" s="16"/>
      <c r="KY30" s="12"/>
      <c r="KZ30" s="12"/>
      <c r="LA30" s="12"/>
      <c r="LB30" s="12"/>
      <c r="LC30" s="12"/>
      <c r="LD30" s="411"/>
      <c r="LE30" s="13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3"/>
      <c r="LT30" s="12"/>
      <c r="LU30" s="12"/>
      <c r="LV30" s="12"/>
      <c r="LW30" s="12"/>
      <c r="LX30" s="12"/>
      <c r="LY30" s="13"/>
      <c r="LZ30" s="12"/>
      <c r="MA30" s="222">
        <f t="shared" si="118"/>
        <v>24</v>
      </c>
      <c r="MB30" s="453" t="s">
        <v>252</v>
      </c>
      <c r="MC30" s="454">
        <f>MC28-MC29</f>
        <v>125008684.55141294</v>
      </c>
      <c r="MD30" s="455">
        <f>MC30/$MC$34*100</f>
        <v>5.686192118038301</v>
      </c>
      <c r="ME30" s="307"/>
      <c r="MF30" s="456">
        <f>MF28-MF29</f>
        <v>125008684.55141294</v>
      </c>
      <c r="MG30" s="455">
        <f>MF30/$MC$34*100</f>
        <v>5.686192118038301</v>
      </c>
      <c r="MH30" s="12"/>
      <c r="MI30" s="13"/>
      <c r="MJ30" s="12"/>
      <c r="MK30" s="222">
        <f t="shared" si="119"/>
        <v>24</v>
      </c>
      <c r="ML30" s="453" t="s">
        <v>252</v>
      </c>
      <c r="MM30" s="984">
        <v>107643578.11203304</v>
      </c>
      <c r="MN30" s="454">
        <f>MC30</f>
        <v>125008684.55141294</v>
      </c>
      <c r="MO30" s="309">
        <f t="shared" si="70"/>
        <v>17365106.439379901</v>
      </c>
      <c r="MP30" s="723">
        <f t="shared" si="71"/>
        <v>0.16132041264279309</v>
      </c>
      <c r="MQ30" s="12"/>
      <c r="MR30" s="13"/>
      <c r="MS30" s="12"/>
    </row>
    <row r="31" spans="1:357" ht="16.5" customHeight="1" x14ac:dyDescent="0.3"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AL31" s="299"/>
      <c r="AN31" s="379"/>
      <c r="AO31" s="380"/>
      <c r="AQ31" s="15"/>
      <c r="AT31" s="381"/>
      <c r="AU31" s="15"/>
      <c r="AW31" s="381"/>
      <c r="AX31" s="381"/>
      <c r="AY31" s="15"/>
      <c r="BA31" s="381"/>
      <c r="BB31" s="381"/>
      <c r="BC31" s="15"/>
      <c r="BE31" s="381"/>
      <c r="BF31" s="381"/>
      <c r="BG31" s="15"/>
      <c r="BI31" s="381"/>
      <c r="BJ31" s="381"/>
      <c r="BK31" s="15"/>
      <c r="BM31" s="381"/>
      <c r="BN31" s="381"/>
      <c r="BO31" s="15"/>
      <c r="BQ31" s="381"/>
      <c r="BR31" s="381"/>
      <c r="BS31" s="15"/>
      <c r="BU31" s="381"/>
      <c r="BV31" s="381"/>
      <c r="BW31" s="381"/>
      <c r="BX31" s="381"/>
      <c r="BY31" s="381"/>
      <c r="BZ31" s="381"/>
      <c r="CA31" s="381"/>
      <c r="CB31" s="381"/>
      <c r="CC31" s="381"/>
      <c r="CD31" s="381"/>
      <c r="CE31" s="381"/>
      <c r="CG31" s="381"/>
      <c r="CH31" s="381"/>
      <c r="CI31" s="381"/>
      <c r="CJ31" s="381"/>
      <c r="FJ31" s="293">
        <f t="shared" si="78"/>
        <v>26</v>
      </c>
      <c r="FK31" s="463"/>
      <c r="FL31" s="464" t="s">
        <v>221</v>
      </c>
      <c r="FM31" s="309">
        <f>SUM(FM26:FM30)</f>
        <v>969903.95640000002</v>
      </c>
      <c r="FN31" s="309">
        <f>SUM(FN26:FN30)</f>
        <v>452578.26999999996</v>
      </c>
      <c r="FO31" s="309">
        <f>SUM(FO26:FO30)</f>
        <v>812371.4</v>
      </c>
      <c r="FP31" s="325">
        <f t="shared" si="113"/>
        <v>2234853.6264</v>
      </c>
      <c r="FQ31" s="309">
        <v>910734.04730909085</v>
      </c>
      <c r="FR31" s="309">
        <v>399475.27</v>
      </c>
      <c r="FS31" s="309">
        <v>759919.4</v>
      </c>
      <c r="FT31" s="309">
        <v>2070128.717309091</v>
      </c>
      <c r="FU31" s="971">
        <v>2070128.717309091</v>
      </c>
      <c r="FV31" s="16"/>
      <c r="FW31" s="266"/>
      <c r="IK31" s="12"/>
      <c r="IM31" s="12"/>
      <c r="KO31" s="12"/>
      <c r="KQ31" s="12"/>
      <c r="KR31" s="12"/>
      <c r="LD31" s="411"/>
      <c r="MA31" s="192">
        <f t="shared" si="118"/>
        <v>25</v>
      </c>
      <c r="MB31" s="935" t="s">
        <v>253</v>
      </c>
      <c r="MC31" s="935">
        <f>'DCA 8 month Phase I'!JV26+'DCA 8 month Phase I'!JZ26+MC11</f>
        <v>114085285.50147545</v>
      </c>
      <c r="MD31" s="936">
        <f>MC31/$MC$34*100</f>
        <v>5.1893262738545216</v>
      </c>
      <c r="ME31" s="796"/>
      <c r="MF31" s="937"/>
      <c r="MG31" s="466"/>
      <c r="MK31" s="312">
        <f>MK30+1</f>
        <v>25</v>
      </c>
      <c r="ML31" s="935" t="str">
        <f>MB31</f>
        <v>Total Revenue at Current Rates</v>
      </c>
      <c r="MM31" s="980">
        <v>136637688.37609816</v>
      </c>
      <c r="MN31" s="935">
        <f>MC31</f>
        <v>114085285.50147545</v>
      </c>
      <c r="MO31" s="935">
        <f t="shared" si="70"/>
        <v>-22552402.874622703</v>
      </c>
      <c r="MP31" s="944">
        <f t="shared" si="71"/>
        <v>-0.16505257914307458</v>
      </c>
    </row>
    <row r="32" spans="1:357" ht="16.5" x14ac:dyDescent="0.3"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AL32" s="299"/>
      <c r="AN32" s="287"/>
      <c r="AT32" s="467"/>
      <c r="AW32" s="467"/>
      <c r="AX32" s="236"/>
      <c r="BA32" s="467"/>
      <c r="BB32" s="236"/>
      <c r="BE32" s="467"/>
      <c r="BF32" s="236"/>
      <c r="BI32" s="467"/>
      <c r="BJ32" s="236"/>
      <c r="BM32" s="467"/>
      <c r="BN32" s="236"/>
      <c r="BQ32" s="467"/>
      <c r="BR32" s="236"/>
      <c r="BU32" s="467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G32" s="467"/>
      <c r="CH32" s="236"/>
      <c r="CI32" s="236"/>
      <c r="CJ32" s="236"/>
      <c r="FJ32" s="383">
        <f t="shared" si="78"/>
        <v>27</v>
      </c>
      <c r="FK32" s="468" t="s">
        <v>254</v>
      </c>
      <c r="FL32" s="469"/>
      <c r="FM32" s="470"/>
      <c r="FN32" s="470"/>
      <c r="FO32" s="470"/>
      <c r="FP32" s="471"/>
      <c r="FQ32" s="470"/>
      <c r="FR32" s="470"/>
      <c r="FS32" s="470"/>
      <c r="FT32" s="470"/>
      <c r="FU32" s="470"/>
      <c r="FV32" s="16"/>
      <c r="FW32" s="266"/>
      <c r="IK32" s="12"/>
      <c r="IM32" s="12"/>
      <c r="JP32" s="189"/>
      <c r="KE32" s="189"/>
      <c r="KF32" s="472"/>
      <c r="KG32" s="189"/>
      <c r="KO32" s="12"/>
      <c r="KQ32" s="12"/>
      <c r="KR32" s="12"/>
      <c r="LD32" s="236"/>
      <c r="MA32" s="293">
        <f>MA31+1</f>
        <v>26</v>
      </c>
      <c r="MB32" s="938" t="s">
        <v>255</v>
      </c>
      <c r="MC32" s="938">
        <f>MC30/MC9-1</f>
        <v>0.14686982080149136</v>
      </c>
      <c r="MD32" s="938"/>
      <c r="ME32" s="839"/>
      <c r="MF32" s="939">
        <f>(MF9)/MF30-1</f>
        <v>0</v>
      </c>
      <c r="MG32" s="473"/>
      <c r="MK32" s="293">
        <f t="shared" si="119"/>
        <v>26</v>
      </c>
      <c r="ML32" s="938" t="str">
        <f>MB32</f>
        <v>Proposed Rate Increase</v>
      </c>
      <c r="MM32" s="985">
        <v>-0.18249978315112159</v>
      </c>
      <c r="MN32" s="938">
        <f>MC32</f>
        <v>0.14686982080149136</v>
      </c>
      <c r="MO32" s="938">
        <f t="shared" si="70"/>
        <v>0.32936960395261294</v>
      </c>
      <c r="MP32" s="474"/>
    </row>
    <row r="33" spans="2:354" ht="17.100000000000001" customHeight="1" x14ac:dyDescent="0.3"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AL33" s="299"/>
      <c r="AN33" s="287"/>
      <c r="AT33" s="467"/>
      <c r="AW33" s="467"/>
      <c r="AX33" s="236"/>
      <c r="BA33" s="467"/>
      <c r="BB33" s="236"/>
      <c r="BE33" s="467"/>
      <c r="BF33" s="236"/>
      <c r="BI33" s="467"/>
      <c r="BJ33" s="236"/>
      <c r="BM33" s="467"/>
      <c r="BN33" s="236"/>
      <c r="BQ33" s="467"/>
      <c r="BR33" s="236"/>
      <c r="BU33" s="467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G33" s="467"/>
      <c r="CH33" s="236"/>
      <c r="CI33" s="236"/>
      <c r="CJ33" s="236"/>
      <c r="EE33" s="475"/>
      <c r="FJ33" s="222">
        <f t="shared" si="78"/>
        <v>28</v>
      </c>
      <c r="FK33" s="242"/>
      <c r="FL33" s="877" t="s">
        <v>256</v>
      </c>
      <c r="FM33" s="650">
        <v>33261.31</v>
      </c>
      <c r="FN33" s="650">
        <v>184151.55</v>
      </c>
      <c r="FO33" s="650">
        <v>509378.34</v>
      </c>
      <c r="FP33" s="794">
        <f>FM33+FO33+FN33</f>
        <v>726791.2</v>
      </c>
      <c r="FQ33" s="650">
        <v>33261.31</v>
      </c>
      <c r="FR33" s="650">
        <v>184151.55</v>
      </c>
      <c r="FS33" s="650">
        <v>509378.34</v>
      </c>
      <c r="FT33" s="650">
        <v>726791.2</v>
      </c>
      <c r="FU33" s="955">
        <v>726791.2</v>
      </c>
      <c r="FW33" s="266"/>
      <c r="IK33" s="12"/>
      <c r="IM33" s="12"/>
      <c r="JO33" s="476"/>
      <c r="JP33" s="477"/>
      <c r="KE33" s="477"/>
      <c r="KF33" s="476"/>
      <c r="KG33" s="477"/>
      <c r="KO33" s="12"/>
      <c r="KQ33" s="12"/>
      <c r="KR33" s="12"/>
      <c r="MA33" s="341" t="s">
        <v>223</v>
      </c>
      <c r="MB33" s="341"/>
      <c r="MC33" s="341"/>
      <c r="MD33" s="341"/>
      <c r="ME33" s="341"/>
      <c r="MF33" s="341"/>
      <c r="MG33" s="341"/>
      <c r="MK33" s="341" t="s">
        <v>223</v>
      </c>
      <c r="ML33" s="298"/>
      <c r="MM33" s="298"/>
      <c r="MN33" s="298"/>
      <c r="MO33" s="478"/>
      <c r="MP33" s="478"/>
    </row>
    <row r="34" spans="2:354" ht="17.850000000000001" customHeight="1" x14ac:dyDescent="0.3"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AL34" s="299"/>
      <c r="AN34" s="287"/>
      <c r="AT34" s="467"/>
      <c r="AW34" s="467"/>
      <c r="AX34" s="236"/>
      <c r="BA34" s="467"/>
      <c r="BB34" s="236"/>
      <c r="BE34" s="467"/>
      <c r="BF34" s="236"/>
      <c r="BI34" s="467"/>
      <c r="BJ34" s="236"/>
      <c r="BM34" s="467"/>
      <c r="BN34" s="236"/>
      <c r="BQ34" s="467"/>
      <c r="BR34" s="236"/>
      <c r="BU34" s="467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G34" s="467"/>
      <c r="CH34" s="236"/>
      <c r="CI34" s="236"/>
      <c r="CJ34" s="236"/>
      <c r="FJ34" s="383">
        <f t="shared" si="78"/>
        <v>29</v>
      </c>
      <c r="FK34" s="384"/>
      <c r="FL34" s="882" t="s">
        <v>257</v>
      </c>
      <c r="FM34" s="880">
        <v>42818</v>
      </c>
      <c r="FN34" s="880">
        <v>398970.26</v>
      </c>
      <c r="FO34" s="880">
        <v>550411.94579999999</v>
      </c>
      <c r="FP34" s="881">
        <f>FM34+FO34+FN34</f>
        <v>992200.2058</v>
      </c>
      <c r="FQ34" s="880">
        <v>42518</v>
      </c>
      <c r="FR34" s="880">
        <v>398970.26</v>
      </c>
      <c r="FS34" s="880">
        <v>550411.94579999999</v>
      </c>
      <c r="FT34" s="880">
        <v>991900.2058</v>
      </c>
      <c r="FU34" s="955">
        <v>991900.2058</v>
      </c>
      <c r="FV34" s="16"/>
      <c r="FW34" s="266"/>
      <c r="IK34" s="12"/>
      <c r="IM34" s="12"/>
      <c r="JO34" s="57"/>
      <c r="JP34" s="24"/>
      <c r="KE34" s="24"/>
      <c r="KF34" s="25"/>
      <c r="KG34" s="24"/>
      <c r="KO34" s="12"/>
      <c r="KQ34" s="12"/>
      <c r="KR34" s="12"/>
      <c r="MA34" s="192">
        <f>MA32+1</f>
        <v>27</v>
      </c>
      <c r="MB34" s="479" t="s">
        <v>118</v>
      </c>
      <c r="MC34" s="1054">
        <f>JI26</f>
        <v>2198460445.1694136</v>
      </c>
      <c r="MD34" s="1054"/>
      <c r="ME34" s="480"/>
      <c r="MF34" s="481"/>
      <c r="MG34" s="480">
        <f>MC34</f>
        <v>2198460445.1694136</v>
      </c>
      <c r="MK34" s="192">
        <f>MK32+1</f>
        <v>27</v>
      </c>
      <c r="ML34" s="479" t="str">
        <f>MB34</f>
        <v>Target Year Volume</v>
      </c>
      <c r="MM34" s="482">
        <v>2172816411.6368828</v>
      </c>
      <c r="MN34" s="480">
        <f>MC34</f>
        <v>2198460445.1694136</v>
      </c>
      <c r="MO34" s="480">
        <f t="shared" ref="MO34" si="123">MN34-MM34</f>
        <v>25644033.532530785</v>
      </c>
      <c r="MP34" s="946">
        <f t="shared" ref="MP34:MP35" si="124">MO34/MM34</f>
        <v>1.1802209056959374E-2</v>
      </c>
    </row>
    <row r="35" spans="2:354" ht="17.25" thickBot="1" x14ac:dyDescent="0.35"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AL35" s="299"/>
      <c r="AN35" s="287"/>
      <c r="AT35" s="467"/>
      <c r="AW35" s="467"/>
      <c r="AX35" s="236"/>
      <c r="BA35" s="467"/>
      <c r="BB35" s="236"/>
      <c r="BE35" s="467"/>
      <c r="BF35" s="236"/>
      <c r="BI35" s="467"/>
      <c r="BJ35" s="236"/>
      <c r="BM35" s="467"/>
      <c r="BN35" s="236"/>
      <c r="BQ35" s="467"/>
      <c r="BR35" s="236"/>
      <c r="BU35" s="467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G35" s="467"/>
      <c r="CH35" s="236"/>
      <c r="CI35" s="236"/>
      <c r="CJ35" s="236"/>
      <c r="FJ35" s="297">
        <f t="shared" si="78"/>
        <v>30</v>
      </c>
      <c r="FK35" s="483"/>
      <c r="FL35" s="484" t="s">
        <v>221</v>
      </c>
      <c r="FM35" s="309">
        <f>SUM(FM33:FM34)</f>
        <v>76079.31</v>
      </c>
      <c r="FN35" s="309">
        <f>SUM(FN33:FN34)</f>
        <v>583121.81000000006</v>
      </c>
      <c r="FO35" s="309">
        <f>SUM(FO33:FO34)</f>
        <v>1059790.2858</v>
      </c>
      <c r="FP35" s="325">
        <f>FM35+FO35+FN35</f>
        <v>1718991.4058000001</v>
      </c>
      <c r="FQ35" s="309">
        <v>75779.31</v>
      </c>
      <c r="FR35" s="309">
        <v>583121.81000000006</v>
      </c>
      <c r="FS35" s="309">
        <v>1059790.2858</v>
      </c>
      <c r="FT35" s="309">
        <v>1718691.4057999998</v>
      </c>
      <c r="FU35" s="971">
        <v>1718691.4057999998</v>
      </c>
      <c r="FW35" s="266"/>
      <c r="IK35" s="12"/>
      <c r="IM35" s="12"/>
      <c r="JP35" s="189"/>
      <c r="KE35" s="189"/>
      <c r="KF35" s="472"/>
      <c r="KG35" s="189"/>
      <c r="KO35" s="12"/>
      <c r="KQ35" s="12"/>
      <c r="KR35" s="12"/>
      <c r="MA35" s="274">
        <f>MA34+1</f>
        <v>28</v>
      </c>
      <c r="MB35" s="486" t="s">
        <v>230</v>
      </c>
      <c r="MC35" s="1050">
        <f>JG26</f>
        <v>219</v>
      </c>
      <c r="MD35" s="1050"/>
      <c r="ME35" s="487"/>
      <c r="MF35" s="488"/>
      <c r="MG35" s="487">
        <f>MC35</f>
        <v>219</v>
      </c>
      <c r="MK35" s="274">
        <f>MK34+1</f>
        <v>28</v>
      </c>
      <c r="ML35" s="486" t="str">
        <f>MB35</f>
        <v>Number of Depots</v>
      </c>
      <c r="MM35" s="489">
        <v>221</v>
      </c>
      <c r="MN35" s="487">
        <f>MC35</f>
        <v>219</v>
      </c>
      <c r="MO35" s="490">
        <f>MN35-MM35</f>
        <v>-2</v>
      </c>
      <c r="MP35" s="947">
        <f t="shared" si="124"/>
        <v>-9.0497737556561094E-3</v>
      </c>
    </row>
    <row r="36" spans="2:354" ht="17.25" thickBot="1" x14ac:dyDescent="0.35"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AN36" s="379"/>
      <c r="FJ36" s="491">
        <f t="shared" si="78"/>
        <v>31</v>
      </c>
      <c r="FK36" s="492"/>
      <c r="FL36" s="493" t="s">
        <v>71</v>
      </c>
      <c r="FM36" s="494">
        <f>FM20+FM24+FM31+FM35</f>
        <v>2645170.5619999999</v>
      </c>
      <c r="FN36" s="494">
        <f>FN20+FN24+FN31+FN35</f>
        <v>3815523.84485</v>
      </c>
      <c r="FO36" s="494">
        <f>FO20+FO24+FO31+FO35</f>
        <v>5940057.9059100002</v>
      </c>
      <c r="FP36" s="495">
        <f>FM36+FO36+FN36</f>
        <v>12400752.312759999</v>
      </c>
      <c r="FQ36" s="494">
        <v>2543957.5453704544</v>
      </c>
      <c r="FR36" s="494">
        <v>3606846.8748500003</v>
      </c>
      <c r="FS36" s="494">
        <v>5884447.3059099996</v>
      </c>
      <c r="FT36" s="494">
        <v>12035251.726130454</v>
      </c>
      <c r="FU36" s="972">
        <v>12035251.726130454</v>
      </c>
      <c r="FW36" s="266"/>
      <c r="IK36" s="12"/>
      <c r="IM36" s="12"/>
      <c r="JO36" s="496"/>
      <c r="JP36" s="485"/>
      <c r="JQ36" s="485"/>
      <c r="JR36" s="485"/>
      <c r="JS36" s="485"/>
      <c r="JT36" s="485"/>
      <c r="JU36" s="485"/>
      <c r="JW36" s="446"/>
      <c r="JX36" s="446"/>
      <c r="JY36" s="446"/>
      <c r="JZ36" s="446"/>
      <c r="KA36" s="446"/>
      <c r="KB36" s="446"/>
      <c r="KC36" s="485"/>
      <c r="KD36" s="485"/>
      <c r="KE36" s="485"/>
      <c r="KF36" s="497"/>
      <c r="KG36" s="485"/>
      <c r="KO36" s="12"/>
      <c r="KQ36" s="12"/>
      <c r="KR36" s="12"/>
      <c r="MA36" s="12"/>
      <c r="MB36" s="190" t="s">
        <v>450</v>
      </c>
    </row>
    <row r="37" spans="2:354" ht="15.75" customHeight="1" x14ac:dyDescent="0.3"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AL37" s="299"/>
      <c r="AN37" s="287"/>
      <c r="AP37" s="498"/>
      <c r="AQ37" s="15"/>
      <c r="AT37" s="211"/>
      <c r="AV37" s="499"/>
      <c r="AW37" s="211"/>
      <c r="AX37" s="236"/>
      <c r="AZ37" s="499"/>
      <c r="BA37" s="211"/>
      <c r="BB37" s="236"/>
      <c r="BD37" s="499"/>
      <c r="BE37" s="211"/>
      <c r="BF37" s="236"/>
      <c r="BH37" s="499"/>
      <c r="BI37" s="211"/>
      <c r="BJ37" s="236"/>
      <c r="BL37" s="499"/>
      <c r="BM37" s="211"/>
      <c r="BN37" s="236"/>
      <c r="BP37" s="499"/>
      <c r="BQ37" s="211"/>
      <c r="BR37" s="236"/>
      <c r="BT37" s="499"/>
      <c r="BU37" s="211"/>
      <c r="BV37" s="236"/>
      <c r="BW37" s="236"/>
      <c r="BX37" s="236"/>
      <c r="BY37" s="236"/>
      <c r="BZ37" s="236"/>
      <c r="CA37" s="236"/>
      <c r="CB37" s="236"/>
      <c r="CC37" s="236"/>
      <c r="CD37" s="236"/>
      <c r="CE37" s="236"/>
      <c r="CF37" s="499"/>
      <c r="CG37" s="211"/>
      <c r="CH37" s="236"/>
      <c r="CI37" s="236"/>
      <c r="CJ37" s="236"/>
      <c r="IK37" s="12"/>
      <c r="IM37" s="12"/>
      <c r="JO37" s="496"/>
      <c r="JP37" s="485"/>
      <c r="JQ37" s="485"/>
      <c r="JR37" s="485"/>
      <c r="JS37" s="485"/>
      <c r="JT37" s="485"/>
      <c r="JU37" s="485"/>
      <c r="JW37" s="446"/>
      <c r="JX37" s="446"/>
      <c r="JY37" s="446"/>
      <c r="JZ37" s="446"/>
      <c r="KA37" s="446"/>
      <c r="KB37" s="446"/>
      <c r="KC37" s="485"/>
      <c r="KD37" s="485"/>
      <c r="KE37" s="485"/>
      <c r="KF37" s="497"/>
      <c r="KG37" s="485"/>
      <c r="KO37" s="12"/>
      <c r="KQ37" s="12"/>
      <c r="KR37" s="12"/>
      <c r="MA37" s="12"/>
      <c r="MB37" s="194" t="s">
        <v>232</v>
      </c>
      <c r="MC37" s="320">
        <v>19960070.068912446</v>
      </c>
      <c r="MD37" s="331">
        <v>0.91454128970437332</v>
      </c>
    </row>
    <row r="38" spans="2:354" ht="16.5" x14ac:dyDescent="0.3"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AL38" s="299"/>
      <c r="AN38" s="287"/>
      <c r="AQ38" s="15"/>
      <c r="BU38" s="232"/>
      <c r="CG38" s="232"/>
      <c r="FW38" s="266"/>
      <c r="IK38" s="12"/>
      <c r="IM38" s="12"/>
      <c r="JO38" s="496"/>
      <c r="JP38" s="485"/>
      <c r="JQ38" s="485"/>
      <c r="JR38" s="485"/>
      <c r="JS38" s="485"/>
      <c r="JT38" s="485"/>
      <c r="JU38" s="485"/>
      <c r="JW38" s="446"/>
      <c r="JX38" s="446"/>
      <c r="JY38" s="446"/>
      <c r="JZ38" s="446"/>
      <c r="KA38" s="446"/>
      <c r="KB38" s="446"/>
      <c r="KC38" s="485"/>
      <c r="KD38" s="485"/>
      <c r="KE38" s="485"/>
      <c r="KF38" s="497"/>
      <c r="KG38" s="485"/>
      <c r="KO38" s="12"/>
      <c r="KQ38" s="12"/>
      <c r="KR38" s="12"/>
      <c r="MA38" s="12"/>
      <c r="MB38" s="816" t="s">
        <v>233</v>
      </c>
      <c r="MC38" s="932">
        <v>5.390000000000017E-2</v>
      </c>
      <c r="MD38" s="930"/>
    </row>
    <row r="39" spans="2:354" ht="16.5" x14ac:dyDescent="0.3"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IK39" s="12"/>
      <c r="IM39" s="12"/>
      <c r="JO39" s="496"/>
      <c r="JP39" s="485"/>
      <c r="JQ39" s="485"/>
      <c r="JR39" s="485"/>
      <c r="JS39" s="485"/>
      <c r="JT39" s="485"/>
      <c r="JU39" s="485"/>
      <c r="JW39" s="446"/>
      <c r="JX39" s="446"/>
      <c r="JY39" s="446"/>
      <c r="JZ39" s="446"/>
      <c r="KA39" s="446"/>
      <c r="KB39" s="446"/>
      <c r="KC39" s="485"/>
      <c r="KD39" s="485"/>
      <c r="KE39" s="485"/>
      <c r="KF39" s="497"/>
      <c r="KG39" s="485"/>
      <c r="KO39" s="12"/>
      <c r="KQ39" s="12"/>
      <c r="KR39" s="12"/>
      <c r="LK39" s="500"/>
      <c r="LL39" s="500"/>
      <c r="LM39" s="500"/>
      <c r="LN39" s="500"/>
      <c r="MA39" s="12"/>
      <c r="MB39" s="375" t="s">
        <v>236</v>
      </c>
      <c r="MC39" s="376">
        <v>129163059.59289664</v>
      </c>
      <c r="MD39" s="377">
        <v>5.9180629473955912</v>
      </c>
      <c r="MF39" s="1004"/>
    </row>
    <row r="40" spans="2:354" ht="16.5" x14ac:dyDescent="0.3"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AL40" s="299"/>
      <c r="IK40" s="12"/>
      <c r="IM40" s="12"/>
      <c r="JW40" s="446"/>
      <c r="JX40" s="446"/>
      <c r="JY40" s="446"/>
      <c r="JZ40" s="446"/>
      <c r="KA40" s="446"/>
      <c r="KB40" s="446"/>
      <c r="KO40" s="12"/>
      <c r="KQ40" s="12"/>
      <c r="KR40" s="12"/>
      <c r="LK40" s="500"/>
      <c r="LL40" s="500"/>
      <c r="LM40" s="500"/>
      <c r="LN40" s="500"/>
      <c r="MA40" s="12"/>
      <c r="MB40" s="650" t="s">
        <v>239</v>
      </c>
      <c r="MC40" s="650">
        <v>0</v>
      </c>
      <c r="MD40" s="747">
        <v>0</v>
      </c>
      <c r="MF40" s="1004"/>
    </row>
    <row r="41" spans="2:354" ht="16.5" x14ac:dyDescent="0.3"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AL41" s="502"/>
      <c r="IK41" s="12"/>
      <c r="IM41" s="12"/>
      <c r="JW41" s="446"/>
      <c r="JX41" s="446"/>
      <c r="JY41" s="446"/>
      <c r="JZ41" s="446"/>
      <c r="KA41" s="446"/>
      <c r="KB41" s="446"/>
      <c r="KO41" s="12"/>
      <c r="KQ41" s="12"/>
      <c r="KR41" s="12"/>
      <c r="LK41" s="500"/>
      <c r="LL41" s="503"/>
      <c r="LM41" s="504"/>
      <c r="LN41" s="505"/>
      <c r="MA41" s="12"/>
      <c r="MB41" s="935" t="s">
        <v>244</v>
      </c>
      <c r="MC41" s="935">
        <v>0</v>
      </c>
      <c r="MD41" s="936">
        <v>0</v>
      </c>
      <c r="MF41" s="1004"/>
    </row>
    <row r="42" spans="2:354" ht="16.5" x14ac:dyDescent="0.3"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AL42" s="299"/>
      <c r="IK42" s="12"/>
      <c r="IM42" s="12"/>
      <c r="JW42" s="446"/>
      <c r="JX42" s="446"/>
      <c r="JY42" s="446"/>
      <c r="JZ42" s="446"/>
      <c r="KA42" s="446"/>
      <c r="KB42" s="446"/>
      <c r="KO42" s="12"/>
      <c r="KQ42" s="12"/>
      <c r="KR42" s="12"/>
      <c r="LK42" s="500"/>
      <c r="LL42" s="504"/>
      <c r="LM42" s="504"/>
      <c r="LN42" s="505"/>
      <c r="MA42" s="12"/>
      <c r="MB42" s="453" t="s">
        <v>247</v>
      </c>
      <c r="MC42" s="454">
        <v>129163059.59289664</v>
      </c>
      <c r="MD42" s="455">
        <v>5.9180629473955912</v>
      </c>
      <c r="MF42" s="1004"/>
    </row>
    <row r="43" spans="2:354" ht="16.5" x14ac:dyDescent="0.3"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IK43" s="12"/>
      <c r="IM43" s="12"/>
      <c r="JW43" s="446"/>
      <c r="JX43" s="446"/>
      <c r="JY43" s="446"/>
      <c r="JZ43" s="446"/>
      <c r="KA43" s="446"/>
      <c r="KB43" s="446"/>
      <c r="KO43" s="12"/>
      <c r="KQ43" s="12"/>
      <c r="KR43" s="12"/>
      <c r="LK43" s="500"/>
      <c r="LL43" s="503"/>
      <c r="LM43" s="503"/>
      <c r="LN43" s="505"/>
      <c r="MA43" s="12"/>
      <c r="MB43" s="291" t="s">
        <v>250</v>
      </c>
      <c r="MC43" s="458">
        <v>4749598.8</v>
      </c>
      <c r="MD43" s="331">
        <v>0.21761968756290126</v>
      </c>
      <c r="MF43" s="1004"/>
    </row>
    <row r="44" spans="2:354" ht="16.5" x14ac:dyDescent="0.3">
      <c r="B44" s="462"/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IK44" s="12"/>
      <c r="IM44" s="12"/>
      <c r="JW44" s="446"/>
      <c r="JX44" s="446"/>
      <c r="JY44" s="446"/>
      <c r="JZ44" s="446"/>
      <c r="KA44" s="446"/>
      <c r="KB44" s="446"/>
      <c r="KO44" s="12"/>
      <c r="KQ44" s="12"/>
      <c r="KR44" s="12"/>
      <c r="LK44" s="500"/>
      <c r="LL44" s="500"/>
      <c r="LM44" s="500"/>
      <c r="LN44" s="505"/>
      <c r="MA44" s="12"/>
      <c r="MB44" s="453" t="s">
        <v>252</v>
      </c>
      <c r="MC44" s="454">
        <v>124413460.79289664</v>
      </c>
      <c r="MD44" s="455">
        <v>5.7004432598326904</v>
      </c>
      <c r="MF44" s="1004"/>
      <c r="ML44" s="32"/>
    </row>
    <row r="45" spans="2:354" ht="16.5" x14ac:dyDescent="0.3">
      <c r="IK45" s="12"/>
      <c r="IM45" s="12"/>
      <c r="JW45" s="446"/>
      <c r="JX45" s="446"/>
      <c r="JY45" s="446"/>
      <c r="JZ45" s="446"/>
      <c r="KA45" s="446"/>
      <c r="KB45" s="446"/>
      <c r="KO45" s="12"/>
      <c r="KQ45" s="12"/>
      <c r="KR45" s="12"/>
      <c r="LK45" s="500"/>
      <c r="LL45" s="500"/>
      <c r="LM45" s="500"/>
      <c r="LN45" s="500"/>
      <c r="MA45" s="12"/>
      <c r="MB45" s="935" t="s">
        <v>253</v>
      </c>
      <c r="MC45" s="935">
        <v>113155729.87481624</v>
      </c>
      <c r="MD45" s="936">
        <v>5.1846304536942283</v>
      </c>
      <c r="MF45" s="1004"/>
    </row>
    <row r="46" spans="2:354" ht="16.5" x14ac:dyDescent="0.3">
      <c r="IK46" s="12"/>
      <c r="IM46" s="12"/>
      <c r="JW46" s="446"/>
      <c r="JX46" s="446"/>
      <c r="JY46" s="446"/>
      <c r="JZ46" s="446"/>
      <c r="KA46" s="446"/>
      <c r="KB46" s="446"/>
      <c r="KO46" s="12"/>
      <c r="KQ46" s="12"/>
      <c r="KR46" s="12"/>
      <c r="MA46" s="12"/>
      <c r="MB46" s="938" t="s">
        <v>255</v>
      </c>
      <c r="MC46" s="978">
        <v>0.1512114027739575</v>
      </c>
      <c r="MD46" s="938"/>
      <c r="ML46" s="32"/>
    </row>
    <row r="47" spans="2:354" x14ac:dyDescent="0.25">
      <c r="IK47" s="12"/>
      <c r="IM47" s="12"/>
      <c r="JW47" s="446"/>
      <c r="JX47" s="446"/>
      <c r="JY47" s="446"/>
      <c r="JZ47" s="446"/>
      <c r="KA47" s="446"/>
      <c r="KB47" s="446"/>
      <c r="KO47" s="12"/>
      <c r="KQ47" s="12"/>
      <c r="KR47" s="12"/>
      <c r="MB47" s="12"/>
      <c r="MM47" s="411"/>
    </row>
    <row r="48" spans="2:354" x14ac:dyDescent="0.25">
      <c r="IK48" s="12"/>
      <c r="IM48" s="12"/>
      <c r="JW48" s="446"/>
      <c r="JX48" s="446"/>
      <c r="JY48" s="446"/>
      <c r="JZ48" s="446"/>
      <c r="KA48" s="446"/>
      <c r="KB48" s="446"/>
      <c r="KR48" s="12"/>
      <c r="MB48" s="190" t="s">
        <v>445</v>
      </c>
      <c r="MC48" s="355">
        <f>MC39-MC28</f>
        <v>-595223.75851629674</v>
      </c>
      <c r="MK48" s="8"/>
      <c r="MM48" s="411"/>
    </row>
    <row r="49" spans="245:357" x14ac:dyDescent="0.25">
      <c r="IK49" s="12"/>
      <c r="IM49" s="12"/>
      <c r="JW49" s="446"/>
      <c r="JX49" s="446"/>
      <c r="JY49" s="446"/>
      <c r="JZ49" s="446"/>
      <c r="KA49" s="446"/>
      <c r="KB49" s="446"/>
      <c r="KR49" s="12"/>
      <c r="MB49" s="12"/>
      <c r="MM49" s="411"/>
    </row>
    <row r="50" spans="245:357" x14ac:dyDescent="0.25">
      <c r="IK50" s="12"/>
      <c r="IM50" s="12"/>
      <c r="JW50" s="446"/>
      <c r="JX50" s="446"/>
      <c r="KR50" s="12"/>
      <c r="LS50" s="221"/>
      <c r="LT50" s="8"/>
      <c r="LX50" s="8"/>
      <c r="LY50" s="221"/>
      <c r="LZ50" s="8"/>
      <c r="MC50" s="507"/>
      <c r="MD50" s="508"/>
      <c r="MK50" s="8"/>
      <c r="MM50" s="411"/>
      <c r="MR50" s="221"/>
      <c r="MS50" s="8"/>
    </row>
    <row r="51" spans="245:357" x14ac:dyDescent="0.25">
      <c r="KR51" s="12"/>
      <c r="LU51" s="8"/>
      <c r="LV51" s="8"/>
      <c r="LW51" s="8"/>
      <c r="MC51" s="230"/>
      <c r="MD51" s="506"/>
      <c r="MJ51" s="8"/>
    </row>
    <row r="52" spans="245:357" x14ac:dyDescent="0.25">
      <c r="KR52" s="12"/>
      <c r="LS52" s="221"/>
      <c r="LT52" s="8"/>
      <c r="LX52" s="8"/>
      <c r="LY52" s="221"/>
      <c r="LZ52" s="8"/>
      <c r="MC52" s="507"/>
      <c r="MD52" s="508"/>
      <c r="MI52" s="221"/>
      <c r="MR52" s="221"/>
      <c r="MS52" s="8"/>
    </row>
    <row r="53" spans="245:357" x14ac:dyDescent="0.25">
      <c r="KR53" s="12"/>
      <c r="LU53" s="8"/>
      <c r="LV53" s="8"/>
      <c r="LW53" s="8"/>
      <c r="MC53" s="230"/>
      <c r="MD53" s="506"/>
      <c r="MJ53" s="8"/>
    </row>
    <row r="54" spans="245:357" x14ac:dyDescent="0.25">
      <c r="KS54" s="204"/>
      <c r="MC54" s="230"/>
      <c r="MD54" s="506"/>
      <c r="MI54" s="221"/>
    </row>
  </sheetData>
  <mergeCells count="106">
    <mergeCell ref="F25:G25"/>
    <mergeCell ref="H25:J25"/>
    <mergeCell ref="K25:M25"/>
    <mergeCell ref="N25:P25"/>
    <mergeCell ref="MC34:MD34"/>
    <mergeCell ref="MC35:MD35"/>
    <mergeCell ref="BT22:BV22"/>
    <mergeCell ref="BT23:BV23"/>
    <mergeCell ref="F24:G24"/>
    <mergeCell ref="H24:J24"/>
    <mergeCell ref="K24:M24"/>
    <mergeCell ref="N24:P24"/>
    <mergeCell ref="LI3:LK3"/>
    <mergeCell ref="LL3:LN3"/>
    <mergeCell ref="LO3:LQ3"/>
    <mergeCell ref="MC4:MD4"/>
    <mergeCell ref="MF4:MG4"/>
    <mergeCell ref="AN21:CJ21"/>
    <mergeCell ref="KR3:KS3"/>
    <mergeCell ref="KT3:KU3"/>
    <mergeCell ref="KV3:KW3"/>
    <mergeCell ref="KX3:KY3"/>
    <mergeCell ref="KZ3:LA3"/>
    <mergeCell ref="LB3:LC3"/>
    <mergeCell ref="JY3:JZ3"/>
    <mergeCell ref="KA3:KB3"/>
    <mergeCell ref="KC3:KD3"/>
    <mergeCell ref="KL3:KM3"/>
    <mergeCell ref="KN3:KO3"/>
    <mergeCell ref="KP3:KQ3"/>
    <mergeCell ref="IR3:IS3"/>
    <mergeCell ref="IT3:IU3"/>
    <mergeCell ref="IV3:IW3"/>
    <mergeCell ref="IX3:IZ3"/>
    <mergeCell ref="JU3:JV3"/>
    <mergeCell ref="JW3:JX3"/>
    <mergeCell ref="HY3:HZ3"/>
    <mergeCell ref="IH3:II3"/>
    <mergeCell ref="IJ3:IK3"/>
    <mergeCell ref="IL3:IM3"/>
    <mergeCell ref="IN3:IO3"/>
    <mergeCell ref="IP3:IQ3"/>
    <mergeCell ref="GN3:GQ3"/>
    <mergeCell ref="GR3:GU3"/>
    <mergeCell ref="HQ3:HR3"/>
    <mergeCell ref="HS3:HT3"/>
    <mergeCell ref="HU3:HV3"/>
    <mergeCell ref="HW3:HX3"/>
    <mergeCell ref="EZ3:FC3"/>
    <mergeCell ref="FD3:FF3"/>
    <mergeCell ref="FM3:FP3"/>
    <mergeCell ref="FQ3:FU3"/>
    <mergeCell ref="GA3:GD3"/>
    <mergeCell ref="GE3:GH3"/>
    <mergeCell ref="DO3:DP3"/>
    <mergeCell ref="DV3:DY3"/>
    <mergeCell ref="DZ3:EC3"/>
    <mergeCell ref="EI3:EL3"/>
    <mergeCell ref="EM3:EP3"/>
    <mergeCell ref="EV3:EY3"/>
    <mergeCell ref="CI3:CJ3"/>
    <mergeCell ref="CP3:CS3"/>
    <mergeCell ref="CT3:CW3"/>
    <mergeCell ref="DC3:DD3"/>
    <mergeCell ref="DE3:DG3"/>
    <mergeCell ref="DM3:DN3"/>
    <mergeCell ref="BP3:BR3"/>
    <mergeCell ref="BT3:BV3"/>
    <mergeCell ref="BW3:BY3"/>
    <mergeCell ref="BZ3:CB3"/>
    <mergeCell ref="CC3:CE3"/>
    <mergeCell ref="CF3:CH3"/>
    <mergeCell ref="AS3:AT3"/>
    <mergeCell ref="AV3:AX3"/>
    <mergeCell ref="AZ3:BB3"/>
    <mergeCell ref="BD3:BF3"/>
    <mergeCell ref="BH3:BJ3"/>
    <mergeCell ref="BL3:BN3"/>
    <mergeCell ref="KH1:LC2"/>
    <mergeCell ref="LG1:LQ2"/>
    <mergeCell ref="LU1:LW2"/>
    <mergeCell ref="MA1:MG2"/>
    <mergeCell ref="MK1:MP2"/>
    <mergeCell ref="F3:G3"/>
    <mergeCell ref="H3:J3"/>
    <mergeCell ref="K3:M3"/>
    <mergeCell ref="N3:P3"/>
    <mergeCell ref="Q3:R3"/>
    <mergeCell ref="GK1:GV1"/>
    <mergeCell ref="GY1:HJ2"/>
    <mergeCell ref="HN1:HZ2"/>
    <mergeCell ref="ID1:IZ2"/>
    <mergeCell ref="JD1:JM2"/>
    <mergeCell ref="JQ1:KD2"/>
    <mergeCell ref="DJ1:DQ1"/>
    <mergeCell ref="DS1:ED1"/>
    <mergeCell ref="EG1:EP1"/>
    <mergeCell ref="ET1:FF1"/>
    <mergeCell ref="FI1:FV1"/>
    <mergeCell ref="FX1:GI1"/>
    <mergeCell ref="A1:R1"/>
    <mergeCell ref="W1:AA1"/>
    <mergeCell ref="AF1:AJ1"/>
    <mergeCell ref="AM1:CJ1"/>
    <mergeCell ref="CM1:CX1"/>
    <mergeCell ref="CZ1:DH1"/>
  </mergeCells>
  <conditionalFormatting sqref="AM3:CK4 KU29:LC30 KM30:KQ30">
    <cfRule type="cellIs" dxfId="51" priority="6" operator="lessThan">
      <formula>0</formula>
    </cfRule>
  </conditionalFormatting>
  <conditionalFormatting sqref="AN7:AP20">
    <cfRule type="cellIs" dxfId="50" priority="20" operator="lessThan">
      <formula>0</formula>
    </cfRule>
  </conditionalFormatting>
  <conditionalFormatting sqref="AN22:BT23">
    <cfRule type="cellIs" dxfId="49" priority="4" operator="lessThan">
      <formula>0</formula>
    </cfRule>
  </conditionalFormatting>
  <conditionalFormatting sqref="BW7:CJ20">
    <cfRule type="cellIs" dxfId="48" priority="9" operator="lessThan">
      <formula>0</formula>
    </cfRule>
  </conditionalFormatting>
  <conditionalFormatting sqref="BZ22:CA23">
    <cfRule type="cellIs" dxfId="47" priority="3" operator="lessThan">
      <formula>0</formula>
    </cfRule>
  </conditionalFormatting>
  <conditionalFormatting sqref="CC22:CJ23">
    <cfRule type="cellIs" dxfId="46" priority="1" operator="lessThan">
      <formula>0</formula>
    </cfRule>
  </conditionalFormatting>
  <conditionalFormatting sqref="CK1:CL1 JC1:JD1 JQ1 KE1:KH1 LD1:LE1 LG1 AM1:AM2 JN1:JP2 AO2:AR2 BW2:CK2 JC2 LD2 KE2:KG27 CL2:CL1048576 LE2:LE1048576 JC3:JS3 JU3 JW3 JY3 KL3:KR3 KT3 KX3:LD3 KJ3:KK4 JC4 JE4:JO4 KL4:LD4 JQ4:JT27 JP4:JP28 AN5:AR5 BW5:CJ5 CK5:CK24 KH5:KI27 AM5:AM1048576 AN6:CJ6 AQ7:BT10 BU7:BV11 KX7:LD28 AQ11:BO11 BQ11:BT11 AQ12:BV20 AH19:AJ19 AN26:CK1048576 JV27 JX27 JZ27:KB27 JC27:JH28 JJ27:JL28 JO27:JO32 JM27:JN1048576 LF28:LF37 JP29:JU29 JW29:KG29 KI29:KQ29 JC29:JL1048576 LD29:LD1048576 KI30:KK30 JP30:JP32 KE30:KG32 JO34:JP35 KE34:KG35 JO36:JU50 JW36:KG50 LF38:LQ1048576 KH48:KQ53 KU48:LC53 JO51:KG1048576 KH54:KR54 KT54:LC54 KH55:LC1048576">
    <cfRule type="cellIs" dxfId="45" priority="26" operator="lessThan">
      <formula>0</formula>
    </cfRule>
  </conditionalFormatting>
  <conditionalFormatting sqref="HF4 HF6:HF25">
    <cfRule type="cellIs" dxfId="44" priority="25" operator="lessThan">
      <formula>0</formula>
    </cfRule>
  </conditionalFormatting>
  <conditionalFormatting sqref="IF4">
    <cfRule type="cellIs" dxfId="43" priority="23" operator="lessThan">
      <formula>0</formula>
    </cfRule>
  </conditionalFormatting>
  <conditionalFormatting sqref="JC5:JO26">
    <cfRule type="cellIs" dxfId="42" priority="12" operator="lessThan">
      <formula>0</formula>
    </cfRule>
  </conditionalFormatting>
  <conditionalFormatting sqref="JU4:KD26">
    <cfRule type="cellIs" dxfId="41" priority="2" operator="lessThan">
      <formula>0</formula>
    </cfRule>
  </conditionalFormatting>
  <conditionalFormatting sqref="KC3">
    <cfRule type="cellIs" dxfId="40" priority="21" operator="lessThan">
      <formula>0</formula>
    </cfRule>
  </conditionalFormatting>
  <conditionalFormatting sqref="KC28:KW28">
    <cfRule type="cellIs" dxfId="39" priority="11" operator="lessThan">
      <formula>0</formula>
    </cfRule>
  </conditionalFormatting>
  <conditionalFormatting sqref="KD27">
    <cfRule type="cellIs" dxfId="38" priority="13" operator="lessThan">
      <formula>0</formula>
    </cfRule>
  </conditionalFormatting>
  <conditionalFormatting sqref="KH3:KI3 KI4">
    <cfRule type="cellIs" dxfId="37" priority="22" operator="lessThan">
      <formula>0</formula>
    </cfRule>
  </conditionalFormatting>
  <conditionalFormatting sqref="KJ7:KW27">
    <cfRule type="cellIs" dxfId="36" priority="10" operator="lessThan">
      <formula>0</formula>
    </cfRule>
  </conditionalFormatting>
  <conditionalFormatting sqref="KJ5:LD6">
    <cfRule type="cellIs" dxfId="35" priority="24" operator="lessThan">
      <formula>0</formula>
    </cfRule>
  </conditionalFormatting>
  <conditionalFormatting sqref="LF2">
    <cfRule type="cellIs" dxfId="34" priority="5" operator="lessThan">
      <formula>0</formula>
    </cfRule>
  </conditionalFormatting>
  <conditionalFormatting sqref="LI3:LI4">
    <cfRule type="cellIs" dxfId="33" priority="19" operator="lessThan">
      <formula>0</formula>
    </cfRule>
  </conditionalFormatting>
  <conditionalFormatting sqref="LJ4:LK4">
    <cfRule type="cellIs" dxfId="32" priority="18" operator="lessThan">
      <formula>0</formula>
    </cfRule>
  </conditionalFormatting>
  <conditionalFormatting sqref="LL3:LL4">
    <cfRule type="cellIs" dxfId="31" priority="17" operator="lessThan">
      <formula>0</formula>
    </cfRule>
  </conditionalFormatting>
  <conditionalFormatting sqref="LM4:LN4">
    <cfRule type="cellIs" dxfId="30" priority="16" operator="lessThan">
      <formula>0</formula>
    </cfRule>
  </conditionalFormatting>
  <conditionalFormatting sqref="LO3:LO4">
    <cfRule type="cellIs" dxfId="29" priority="15" operator="lessThan">
      <formula>0</formula>
    </cfRule>
  </conditionalFormatting>
  <conditionalFormatting sqref="LP4:LQ4">
    <cfRule type="cellIs" dxfId="28" priority="14" operator="lessThan">
      <formula>0</formula>
    </cfRule>
  </conditionalFormatting>
  <conditionalFormatting sqref="LU1">
    <cfRule type="cellIs" dxfId="27" priority="8" operator="lessThan">
      <formula>0</formula>
    </cfRule>
  </conditionalFormatting>
  <conditionalFormatting sqref="LU4:LW4">
    <cfRule type="cellIs" dxfId="26" priority="7" operator="lessThan">
      <formula>0</formula>
    </cfRule>
  </conditionalFormatting>
  <pageMargins left="0.7" right="0.7" top="0.75" bottom="0.75" header="0.3" footer="0.3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C014-F0EA-4574-93A8-EAA68521B0E8}">
  <sheetPr>
    <tabColor theme="6"/>
    <pageSetUpPr autoPageBreaks="0"/>
  </sheetPr>
  <dimension ref="A1:KF50"/>
  <sheetViews>
    <sheetView zoomScale="90" zoomScaleNormal="90" workbookViewId="0">
      <selection activeCell="F2" sqref="F2"/>
    </sheetView>
  </sheetViews>
  <sheetFormatPr defaultColWidth="9.85546875" defaultRowHeight="15" x14ac:dyDescent="0.25"/>
  <cols>
    <col min="1" max="1" width="8.42578125" style="12" customWidth="1"/>
    <col min="2" max="2" width="35.7109375" style="12" customWidth="1"/>
    <col min="3" max="3" width="23.42578125" style="12" customWidth="1"/>
    <col min="4" max="4" width="20.7109375" style="12" customWidth="1"/>
    <col min="5" max="5" width="20.42578125" style="12" customWidth="1"/>
    <col min="6" max="6" width="3.85546875" style="12" customWidth="1"/>
    <col min="7" max="7" width="3.85546875" style="528" customWidth="1"/>
    <col min="8" max="9" width="3.85546875" style="12" customWidth="1"/>
    <col min="10" max="10" width="11.140625" style="12" customWidth="1"/>
    <col min="11" max="11" width="36" style="12" customWidth="1"/>
    <col min="12" max="12" width="19.85546875" style="12" customWidth="1"/>
    <col min="13" max="15" width="13.7109375" style="12" customWidth="1"/>
    <col min="16" max="16" width="16.85546875" style="12" customWidth="1"/>
    <col min="17" max="17" width="14.28515625" style="12" customWidth="1"/>
    <col min="18" max="18" width="3.85546875" style="12" customWidth="1"/>
    <col min="19" max="19" width="3.85546875" style="528" customWidth="1"/>
    <col min="20" max="21" width="3.85546875" style="12" customWidth="1"/>
    <col min="22" max="22" width="10.7109375" style="12" customWidth="1"/>
    <col min="23" max="23" width="33.42578125" style="12" bestFit="1" customWidth="1"/>
    <col min="24" max="24" width="17.42578125" style="12" customWidth="1"/>
    <col min="25" max="25" width="10.85546875" style="12" customWidth="1"/>
    <col min="26" max="26" width="3.85546875" style="12" customWidth="1"/>
    <col min="27" max="27" width="3.85546875" style="528" customWidth="1"/>
    <col min="28" max="28" width="3.85546875" style="12" customWidth="1"/>
    <col min="29" max="30" width="9.42578125" style="12" customWidth="1"/>
    <col min="31" max="31" width="36.5703125" style="12" customWidth="1"/>
    <col min="32" max="32" width="15.85546875" style="12" customWidth="1"/>
    <col min="33" max="33" width="3.85546875" style="12" customWidth="1"/>
    <col min="34" max="34" width="3.85546875" style="528" customWidth="1"/>
    <col min="35" max="35" width="3.85546875" style="12" customWidth="1"/>
    <col min="36" max="36" width="4.85546875" style="12" customWidth="1"/>
    <col min="37" max="37" width="62.28515625" style="12" customWidth="1"/>
    <col min="38" max="38" width="12.5703125" style="12" customWidth="1"/>
    <col min="39" max="39" width="3.85546875" style="12" customWidth="1"/>
    <col min="40" max="40" width="3.85546875" style="528" customWidth="1"/>
    <col min="41" max="41" width="3.85546875" style="12" customWidth="1"/>
    <col min="42" max="42" width="5" style="12" customWidth="1"/>
    <col min="43" max="43" width="10.42578125" style="12" customWidth="1"/>
    <col min="44" max="44" width="29.140625" style="12" customWidth="1"/>
    <col min="45" max="45" width="15.85546875" style="12" customWidth="1"/>
    <col min="46" max="46" width="15.140625" style="12" bestFit="1" customWidth="1"/>
    <col min="47" max="47" width="20" style="12" bestFit="1" customWidth="1"/>
    <col min="48" max="48" width="18.28515625" style="12" bestFit="1" customWidth="1"/>
    <col min="49" max="49" width="15.140625" style="12" bestFit="1" customWidth="1"/>
    <col min="50" max="50" width="19.42578125" style="12" customWidth="1"/>
    <col min="51" max="51" width="18.5703125" style="12" hidden="1" customWidth="1"/>
    <col min="52" max="52" width="14.85546875" style="12" hidden="1" customWidth="1"/>
    <col min="53" max="53" width="3.85546875" style="12" customWidth="1"/>
    <col min="54" max="54" width="3.85546875" style="528" customWidth="1"/>
    <col min="55" max="55" width="3.85546875" style="12" customWidth="1"/>
    <col min="56" max="56" width="4.42578125" style="12" bestFit="1" customWidth="1"/>
    <col min="57" max="57" width="34.42578125" style="12" bestFit="1" customWidth="1"/>
    <col min="58" max="58" width="12.5703125" style="12" bestFit="1" customWidth="1"/>
    <col min="59" max="59" width="14.28515625" style="12" bestFit="1" customWidth="1"/>
    <col min="60" max="60" width="3.85546875" style="12" customWidth="1"/>
    <col min="61" max="61" width="3.85546875" style="528" customWidth="1"/>
    <col min="62" max="62" width="3.85546875" style="12" customWidth="1"/>
    <col min="63" max="63" width="5.42578125" style="12" customWidth="1"/>
    <col min="64" max="64" width="11.140625" style="12" customWidth="1"/>
    <col min="65" max="65" width="36.5703125" style="12" customWidth="1"/>
    <col min="66" max="66" width="17.5703125" style="12" customWidth="1"/>
    <col min="67" max="67" width="19.5703125" style="12" customWidth="1"/>
    <col min="68" max="71" width="15.85546875" style="12" customWidth="1"/>
    <col min="72" max="72" width="3.85546875" style="12" customWidth="1"/>
    <col min="73" max="73" width="3.85546875" style="528" customWidth="1"/>
    <col min="74" max="74" width="3.85546875" style="12" customWidth="1"/>
    <col min="75" max="75" width="4.7109375" style="12" customWidth="1"/>
    <col min="76" max="76" width="18" style="12" bestFit="1" customWidth="1"/>
    <col min="77" max="77" width="13.7109375" style="12" customWidth="1"/>
    <col min="78" max="78" width="14.140625" style="12" customWidth="1"/>
    <col min="79" max="82" width="14.85546875" style="12" customWidth="1"/>
    <col min="83" max="83" width="3.85546875" style="12" customWidth="1"/>
    <col min="84" max="84" width="3.85546875" style="528" customWidth="1"/>
    <col min="85" max="85" width="3.85546875" style="12" customWidth="1"/>
    <col min="86" max="86" width="4.7109375" style="12" customWidth="1"/>
    <col min="87" max="87" width="10.42578125" style="60" customWidth="1"/>
    <col min="88" max="88" width="33.85546875" style="12" customWidth="1"/>
    <col min="89" max="95" width="15.42578125" style="12" customWidth="1"/>
    <col min="96" max="96" width="3.85546875" style="12" customWidth="1"/>
    <col min="97" max="97" width="3.85546875" style="528" customWidth="1"/>
    <col min="98" max="98" width="3.85546875" style="12" customWidth="1"/>
    <col min="99" max="99" width="4.42578125" style="12" customWidth="1"/>
    <col min="100" max="100" width="28.5703125" style="12" bestFit="1" customWidth="1"/>
    <col min="101" max="104" width="12.5703125" style="12" customWidth="1"/>
    <col min="105" max="105" width="15.85546875" style="12" customWidth="1"/>
    <col min="106" max="107" width="19.140625" style="12" customWidth="1"/>
    <col min="108" max="108" width="3.85546875" style="12" customWidth="1"/>
    <col min="109" max="109" width="3.85546875" style="528" customWidth="1"/>
    <col min="110" max="110" width="3.85546875" style="12" customWidth="1"/>
    <col min="111" max="111" width="5.5703125" style="12" customWidth="1"/>
    <col min="112" max="112" width="10.85546875" style="12" customWidth="1"/>
    <col min="113" max="113" width="32.85546875" style="12" customWidth="1"/>
    <col min="114" max="114" width="12.5703125" style="12" customWidth="1"/>
    <col min="115" max="115" width="14.85546875" style="12" customWidth="1"/>
    <col min="116" max="116" width="15.85546875" style="12" customWidth="1"/>
    <col min="117" max="117" width="14.85546875" style="12" customWidth="1"/>
    <col min="118" max="118" width="12.5703125" style="12" customWidth="1"/>
    <col min="119" max="119" width="14.85546875" style="12" customWidth="1"/>
    <col min="120" max="120" width="15.85546875" style="12" customWidth="1"/>
    <col min="121" max="121" width="12.5703125" style="12" customWidth="1"/>
    <col min="122" max="122" width="14.7109375" style="12" customWidth="1"/>
    <col min="123" max="123" width="3.85546875" style="12" customWidth="1"/>
    <col min="124" max="124" width="3.85546875" style="528" customWidth="1"/>
    <col min="125" max="125" width="3.85546875" style="12" customWidth="1"/>
    <col min="126" max="126" width="5.85546875" style="12" customWidth="1"/>
    <col min="127" max="127" width="10.5703125" style="12" customWidth="1"/>
    <col min="128" max="128" width="36.140625" style="12" customWidth="1"/>
    <col min="129" max="129" width="15.85546875" style="12" customWidth="1"/>
    <col min="130" max="130" width="15.28515625" style="12" customWidth="1"/>
    <col min="131" max="131" width="14.7109375" style="12" customWidth="1"/>
    <col min="132" max="132" width="3.85546875" style="12" customWidth="1"/>
    <col min="133" max="133" width="3.85546875" style="528" customWidth="1"/>
    <col min="134" max="134" width="3.85546875" style="12" customWidth="1"/>
    <col min="135" max="135" width="4.42578125" style="12" customWidth="1"/>
    <col min="136" max="137" width="13.7109375" style="12" customWidth="1"/>
    <col min="138" max="138" width="12.5703125" style="12" customWidth="1"/>
    <col min="139" max="139" width="14.140625" style="12" customWidth="1"/>
    <col min="140" max="140" width="3.85546875" style="12" customWidth="1"/>
    <col min="141" max="141" width="3.85546875" style="528" customWidth="1"/>
    <col min="142" max="142" width="3.85546875" style="12" customWidth="1"/>
    <col min="143" max="143" width="5.42578125" style="12" customWidth="1"/>
    <col min="144" max="144" width="11.140625" style="12" customWidth="1"/>
    <col min="145" max="145" width="32.85546875" style="12" customWidth="1"/>
    <col min="146" max="146" width="13.7109375" style="12" customWidth="1"/>
    <col min="147" max="147" width="14.85546875" style="12" bestFit="1" customWidth="1"/>
    <col min="148" max="151" width="13.7109375" style="12" customWidth="1"/>
    <col min="152" max="152" width="14.85546875" style="12" customWidth="1"/>
    <col min="153" max="154" width="13.7109375" style="12" customWidth="1"/>
    <col min="155" max="155" width="3.85546875" style="12" customWidth="1"/>
    <col min="156" max="156" width="3.85546875" style="528" customWidth="1"/>
    <col min="157" max="157" width="3.85546875" style="12" customWidth="1"/>
    <col min="158" max="158" width="5" style="12" customWidth="1"/>
    <col min="159" max="159" width="31.7109375" style="12" customWidth="1"/>
    <col min="160" max="160" width="20.28515625" style="12" customWidth="1"/>
    <col min="161" max="161" width="3.85546875" style="12" customWidth="1"/>
    <col min="162" max="162" width="3.85546875" style="528" customWidth="1"/>
    <col min="163" max="163" width="3.85546875" style="12" customWidth="1"/>
    <col min="164" max="164" width="5.140625" style="12" customWidth="1"/>
    <col min="165" max="165" width="10.85546875" style="12" customWidth="1"/>
    <col min="166" max="166" width="38.140625" style="12" customWidth="1"/>
    <col min="167" max="167" width="11.5703125" style="12" customWidth="1"/>
    <col min="168" max="168" width="19.140625" style="12" customWidth="1"/>
    <col min="169" max="169" width="14.85546875" style="12" customWidth="1"/>
    <col min="170" max="170" width="3.85546875" style="12" customWidth="1"/>
    <col min="171" max="171" width="3.85546875" style="528" customWidth="1"/>
    <col min="172" max="172" width="3.85546875" style="12" customWidth="1"/>
    <col min="173" max="173" width="5.42578125" style="12" customWidth="1"/>
    <col min="174" max="174" width="10.140625" style="12" customWidth="1"/>
    <col min="175" max="175" width="36" style="12" customWidth="1"/>
    <col min="176" max="176" width="16.42578125" style="12" bestFit="1" customWidth="1"/>
    <col min="177" max="177" width="15.85546875" style="12" bestFit="1" customWidth="1"/>
    <col min="178" max="178" width="15.42578125" style="12" bestFit="1" customWidth="1"/>
    <col min="179" max="179" width="14.85546875" style="12" bestFit="1" customWidth="1"/>
    <col min="180" max="180" width="14.28515625" style="12" bestFit="1" customWidth="1"/>
    <col min="181" max="181" width="15.42578125" style="12" bestFit="1" customWidth="1"/>
    <col min="182" max="182" width="15.85546875" style="12" bestFit="1" customWidth="1"/>
    <col min="183" max="183" width="17" style="12" bestFit="1" customWidth="1"/>
    <col min="184" max="184" width="14.7109375" style="12" customWidth="1"/>
    <col min="185" max="185" width="2.85546875" style="12" customWidth="1"/>
    <col min="186" max="186" width="3.85546875" style="528" customWidth="1"/>
    <col min="187" max="187" width="3.85546875" style="12" customWidth="1"/>
    <col min="188" max="188" width="5.140625" style="12" customWidth="1"/>
    <col min="189" max="189" width="10.42578125" style="12" customWidth="1"/>
    <col min="190" max="190" width="36" style="12" customWidth="1"/>
    <col min="191" max="191" width="17.140625" style="12" customWidth="1"/>
    <col min="192" max="196" width="15.85546875" style="12" customWidth="1"/>
    <col min="197" max="197" width="23.7109375" style="12" customWidth="1"/>
    <col min="198" max="198" width="15.85546875" style="12" customWidth="1"/>
    <col min="199" max="199" width="19.140625" style="12" bestFit="1" customWidth="1"/>
    <col min="200" max="200" width="4.42578125" style="12" customWidth="1"/>
    <col min="201" max="201" width="3.85546875" style="528" customWidth="1"/>
    <col min="202" max="202" width="3.85546875" style="12" customWidth="1"/>
    <col min="203" max="203" width="5.7109375" style="12" customWidth="1"/>
    <col min="204" max="204" width="10.5703125" style="12" customWidth="1"/>
    <col min="205" max="205" width="33.28515625" style="12" customWidth="1"/>
    <col min="206" max="206" width="15.42578125" style="12" customWidth="1"/>
    <col min="207" max="207" width="17" style="12" bestFit="1" customWidth="1"/>
    <col min="208" max="208" width="19.140625" style="12" customWidth="1"/>
    <col min="209" max="209" width="14.85546875" style="12" customWidth="1"/>
    <col min="210" max="210" width="17" style="12" bestFit="1" customWidth="1"/>
    <col min="211" max="211" width="17" style="12" customWidth="1"/>
    <col min="212" max="212" width="2.85546875" style="12" customWidth="1"/>
    <col min="213" max="213" width="3.85546875" style="528" customWidth="1"/>
    <col min="214" max="214" width="3.85546875" style="12" customWidth="1"/>
    <col min="215" max="215" width="5.5703125" style="12" customWidth="1"/>
    <col min="216" max="216" width="14.85546875" style="12" customWidth="1"/>
    <col min="217" max="217" width="16.85546875" style="12" bestFit="1" customWidth="1"/>
    <col min="218" max="218" width="14.85546875" style="12" customWidth="1"/>
    <col min="219" max="219" width="16.85546875" style="12" bestFit="1" customWidth="1"/>
    <col min="220" max="220" width="13.7109375" style="12" customWidth="1"/>
    <col min="221" max="221" width="2.85546875" style="12" customWidth="1"/>
    <col min="222" max="222" width="3.85546875" style="528" customWidth="1"/>
    <col min="223" max="223" width="3.85546875" style="12" customWidth="1"/>
    <col min="224" max="224" width="7.140625" style="12" customWidth="1"/>
    <col min="225" max="225" width="9.85546875" style="12" customWidth="1"/>
    <col min="226" max="226" width="31.140625" style="12" bestFit="1" customWidth="1"/>
    <col min="227" max="227" width="15.5703125" style="12" customWidth="1"/>
    <col min="228" max="228" width="20.85546875" style="12" customWidth="1"/>
    <col min="229" max="229" width="22.140625" style="12" customWidth="1"/>
    <col min="230" max="230" width="11" style="12" customWidth="1"/>
    <col min="231" max="231" width="10.42578125" style="12" customWidth="1"/>
    <col min="232" max="232" width="15.85546875" style="12" customWidth="1"/>
    <col min="233" max="233" width="3.85546875" style="12" customWidth="1"/>
    <col min="234" max="234" width="3.85546875" style="528" customWidth="1"/>
    <col min="235" max="235" width="3.85546875" style="12" customWidth="1"/>
    <col min="236" max="237" width="13.42578125" style="12" bestFit="1" customWidth="1"/>
    <col min="238" max="238" width="16.42578125" style="12" bestFit="1" customWidth="1"/>
    <col min="239" max="239" width="9.85546875" style="12" bestFit="1" customWidth="1"/>
    <col min="240" max="240" width="21.85546875" style="12" bestFit="1" customWidth="1"/>
    <col min="241" max="241" width="13.42578125" style="12" bestFit="1" customWidth="1"/>
    <col min="242" max="242" width="12.5703125" style="12" bestFit="1" customWidth="1"/>
    <col min="243" max="243" width="21.5703125" style="12" customWidth="1"/>
    <col min="244" max="244" width="12.42578125" style="12" bestFit="1" customWidth="1"/>
    <col min="245" max="245" width="11.28515625" style="12" bestFit="1" customWidth="1"/>
    <col min="246" max="246" width="13.140625" style="12" bestFit="1" customWidth="1"/>
    <col min="247" max="247" width="3.85546875" style="528" customWidth="1"/>
    <col min="248" max="248" width="13.7109375" style="12" bestFit="1" customWidth="1"/>
    <col min="249" max="249" width="4.42578125" style="12" bestFit="1" customWidth="1"/>
    <col min="250" max="250" width="9" style="12" bestFit="1" customWidth="1"/>
    <col min="251" max="251" width="32.5703125" style="12" customWidth="1"/>
    <col min="252" max="252" width="17.140625" style="12" customWidth="1"/>
    <col min="253" max="253" width="16.42578125" style="12" customWidth="1"/>
    <col min="254" max="255" width="18.85546875" style="12" customWidth="1"/>
    <col min="256" max="256" width="21.28515625" style="12" customWidth="1"/>
    <col min="257" max="257" width="20.42578125" style="12" customWidth="1"/>
    <col min="258" max="258" width="20" style="12" customWidth="1"/>
    <col min="259" max="259" width="15.28515625" style="12" customWidth="1"/>
    <col min="260" max="260" width="13.85546875" style="12" customWidth="1"/>
    <col min="261" max="261" width="16.85546875" style="12" customWidth="1"/>
    <col min="262" max="262" width="9.5703125" style="12" customWidth="1"/>
    <col min="263" max="263" width="9.85546875" style="12"/>
    <col min="264" max="264" width="3.85546875" style="528" customWidth="1"/>
    <col min="265" max="265" width="9.85546875" style="12"/>
    <col min="266" max="266" width="11" style="12" bestFit="1" customWidth="1"/>
    <col min="267" max="267" width="9.42578125" style="12" bestFit="1" customWidth="1"/>
    <col min="268" max="268" width="32.28515625" style="12" customWidth="1"/>
    <col min="269" max="269" width="18" style="12" customWidth="1"/>
    <col min="270" max="270" width="19.42578125" style="12" customWidth="1"/>
    <col min="271" max="271" width="15.5703125" style="12" bestFit="1" customWidth="1"/>
    <col min="272" max="272" width="8.28515625" style="12" bestFit="1" customWidth="1"/>
    <col min="273" max="273" width="11.85546875" style="12" customWidth="1"/>
    <col min="274" max="274" width="13.7109375" style="12" customWidth="1"/>
    <col min="275" max="276" width="9.85546875" style="12"/>
    <col min="277" max="277" width="3.85546875" style="528" customWidth="1"/>
    <col min="279" max="279" width="13.85546875" customWidth="1"/>
    <col min="280" max="280" width="11.7109375" customWidth="1"/>
    <col min="281" max="281" width="14" bestFit="1" customWidth="1"/>
    <col min="282" max="282" width="11.7109375" customWidth="1"/>
    <col min="284" max="284" width="14.140625" bestFit="1" customWidth="1"/>
    <col min="285" max="285" width="13.28515625" bestFit="1" customWidth="1"/>
    <col min="287" max="287" width="17" customWidth="1"/>
    <col min="288" max="288" width="15.28515625" customWidth="1"/>
    <col min="291" max="291" width="20.85546875" customWidth="1"/>
    <col min="292" max="292" width="13.28515625" bestFit="1" customWidth="1"/>
  </cols>
  <sheetData>
    <row r="1" spans="1:292" s="516" customFormat="1" ht="16.5" x14ac:dyDescent="0.3">
      <c r="A1" s="1063" t="s">
        <v>258</v>
      </c>
      <c r="B1" s="1063"/>
      <c r="C1" s="1063"/>
      <c r="D1" s="1063"/>
      <c r="E1" s="1063"/>
      <c r="F1" s="510"/>
      <c r="G1" s="511"/>
      <c r="H1" s="510"/>
      <c r="I1" s="1064" t="s">
        <v>259</v>
      </c>
      <c r="J1" s="1064"/>
      <c r="K1" s="1064"/>
      <c r="L1" s="1064"/>
      <c r="M1" s="1064"/>
      <c r="N1" s="1064"/>
      <c r="O1" s="1064"/>
      <c r="P1" s="1064"/>
      <c r="Q1" s="1064"/>
      <c r="R1" s="510"/>
      <c r="S1" s="511"/>
      <c r="T1" s="510"/>
      <c r="U1" s="1064" t="s">
        <v>260</v>
      </c>
      <c r="V1" s="1064"/>
      <c r="W1" s="1064"/>
      <c r="X1" s="1064"/>
      <c r="Y1" s="1064"/>
      <c r="Z1" s="510"/>
      <c r="AA1" s="511"/>
      <c r="AB1" s="510"/>
      <c r="AC1" s="1063" t="s">
        <v>261</v>
      </c>
      <c r="AD1" s="1063"/>
      <c r="AE1" s="1063"/>
      <c r="AF1" s="1063"/>
      <c r="AG1" s="512"/>
      <c r="AH1" s="511"/>
      <c r="AI1" s="510"/>
      <c r="AJ1" s="1065" t="s">
        <v>262</v>
      </c>
      <c r="AK1" s="1065"/>
      <c r="AL1" s="1065"/>
      <c r="AM1" s="5"/>
      <c r="AN1" s="513"/>
      <c r="AO1" s="5"/>
      <c r="AP1" s="1066" t="s">
        <v>263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510"/>
      <c r="BB1" s="511"/>
      <c r="BC1" s="510"/>
      <c r="BD1" s="1065" t="s">
        <v>264</v>
      </c>
      <c r="BE1" s="1065"/>
      <c r="BF1" s="1065"/>
      <c r="BG1" s="1065"/>
      <c r="BH1" s="510"/>
      <c r="BI1" s="511"/>
      <c r="BJ1" s="510"/>
      <c r="BK1" s="1067" t="s">
        <v>265</v>
      </c>
      <c r="BL1" s="1067"/>
      <c r="BM1" s="1067"/>
      <c r="BN1" s="1067"/>
      <c r="BO1" s="1067"/>
      <c r="BP1" s="1067"/>
      <c r="BQ1" s="1067"/>
      <c r="BR1" s="1067"/>
      <c r="BS1" s="1067"/>
      <c r="BT1" s="510"/>
      <c r="BU1" s="511"/>
      <c r="BV1" s="510"/>
      <c r="BW1" s="1064" t="s">
        <v>266</v>
      </c>
      <c r="BX1" s="1064"/>
      <c r="BY1" s="1064"/>
      <c r="BZ1" s="1064"/>
      <c r="CA1" s="1064"/>
      <c r="CB1" s="1064"/>
      <c r="CC1" s="1064"/>
      <c r="CD1" s="1064"/>
      <c r="CE1" s="510"/>
      <c r="CF1" s="511"/>
      <c r="CG1" s="510"/>
      <c r="CH1" s="1064" t="s">
        <v>267</v>
      </c>
      <c r="CI1" s="1064"/>
      <c r="CJ1" s="1064"/>
      <c r="CK1" s="1064"/>
      <c r="CL1" s="1064"/>
      <c r="CM1" s="1064"/>
      <c r="CN1" s="1064"/>
      <c r="CO1" s="1064"/>
      <c r="CP1" s="1064"/>
      <c r="CQ1" s="1064"/>
      <c r="CR1" s="510"/>
      <c r="CS1" s="511"/>
      <c r="CT1" s="510"/>
      <c r="CU1" s="1064" t="s">
        <v>268</v>
      </c>
      <c r="CV1" s="1064"/>
      <c r="CW1" s="1064"/>
      <c r="CX1" s="1064"/>
      <c r="CY1" s="1064"/>
      <c r="CZ1" s="1064"/>
      <c r="DA1" s="1064"/>
      <c r="DB1" s="1064"/>
      <c r="DC1" s="1064"/>
      <c r="DD1" s="510"/>
      <c r="DE1" s="511"/>
      <c r="DF1" s="510"/>
      <c r="DG1" s="1062" t="s">
        <v>269</v>
      </c>
      <c r="DH1" s="1062"/>
      <c r="DI1" s="1062"/>
      <c r="DJ1" s="1062"/>
      <c r="DK1" s="1062"/>
      <c r="DL1" s="1062"/>
      <c r="DM1" s="1062"/>
      <c r="DN1" s="1062"/>
      <c r="DO1" s="1062"/>
      <c r="DP1" s="1062"/>
      <c r="DQ1" s="1062"/>
      <c r="DR1" s="1062"/>
      <c r="DS1" s="510"/>
      <c r="DT1" s="511"/>
      <c r="DU1" s="510"/>
      <c r="DV1" s="1062" t="s">
        <v>270</v>
      </c>
      <c r="DW1" s="1062"/>
      <c r="DX1" s="1062"/>
      <c r="DY1" s="1062"/>
      <c r="DZ1" s="1062"/>
      <c r="EA1" s="1062"/>
      <c r="EB1" s="510"/>
      <c r="EC1" s="511"/>
      <c r="ED1" s="510"/>
      <c r="EE1" s="1063" t="s">
        <v>271</v>
      </c>
      <c r="EF1" s="1063"/>
      <c r="EG1" s="1063"/>
      <c r="EH1" s="1063"/>
      <c r="EI1" s="1063"/>
      <c r="EJ1" s="510"/>
      <c r="EK1" s="511"/>
      <c r="EL1" s="510"/>
      <c r="EM1" s="1062" t="s">
        <v>272</v>
      </c>
      <c r="EN1" s="1062"/>
      <c r="EO1" s="1062"/>
      <c r="EP1" s="1062"/>
      <c r="EQ1" s="1062"/>
      <c r="ER1" s="1062"/>
      <c r="ES1" s="1062"/>
      <c r="ET1" s="1062"/>
      <c r="EU1" s="1062"/>
      <c r="EV1" s="1062"/>
      <c r="EW1" s="1062"/>
      <c r="EX1" s="1062"/>
      <c r="EY1" s="510"/>
      <c r="EZ1" s="511"/>
      <c r="FA1" s="510"/>
      <c r="FB1" s="1063" t="s">
        <v>273</v>
      </c>
      <c r="FC1" s="1063"/>
      <c r="FD1" s="1063"/>
      <c r="FE1" s="510"/>
      <c r="FF1" s="511"/>
      <c r="FG1" s="510"/>
      <c r="FH1" s="1062" t="s">
        <v>274</v>
      </c>
      <c r="FI1" s="1062"/>
      <c r="FJ1" s="1062"/>
      <c r="FK1" s="1062"/>
      <c r="FL1" s="1062"/>
      <c r="FM1" s="1062"/>
      <c r="FN1" s="510"/>
      <c r="FO1" s="513"/>
      <c r="FP1" s="5"/>
      <c r="FQ1" s="1064" t="s">
        <v>275</v>
      </c>
      <c r="FR1" s="1064"/>
      <c r="FS1" s="1064"/>
      <c r="FT1" s="1064"/>
      <c r="FU1" s="1064"/>
      <c r="FV1" s="1064"/>
      <c r="FW1" s="1064"/>
      <c r="FX1" s="1064"/>
      <c r="FY1" s="1064"/>
      <c r="FZ1" s="1064"/>
      <c r="GA1" s="1064"/>
      <c r="GB1" s="1064"/>
      <c r="GC1" s="509"/>
      <c r="GD1" s="513"/>
      <c r="GE1" s="5"/>
      <c r="GF1" s="1066" t="s">
        <v>276</v>
      </c>
      <c r="GG1" s="1066"/>
      <c r="GH1" s="1066"/>
      <c r="GI1" s="1066"/>
      <c r="GJ1" s="1066"/>
      <c r="GK1" s="1066"/>
      <c r="GL1" s="1066"/>
      <c r="GM1" s="1066"/>
      <c r="GN1" s="1066"/>
      <c r="GO1" s="1066"/>
      <c r="GP1" s="1066"/>
      <c r="GQ1" s="1066"/>
      <c r="GR1" s="514"/>
      <c r="GS1" s="513"/>
      <c r="GT1" s="5"/>
      <c r="GU1" s="1063" t="s">
        <v>277</v>
      </c>
      <c r="GV1" s="1063"/>
      <c r="GW1" s="1063"/>
      <c r="GX1" s="1063"/>
      <c r="GY1" s="1063"/>
      <c r="GZ1" s="1063"/>
      <c r="HA1" s="1063"/>
      <c r="HB1" s="1063"/>
      <c r="HC1" s="1063"/>
      <c r="HD1" s="515"/>
      <c r="HE1" s="513"/>
      <c r="HF1" s="5"/>
      <c r="HG1" s="1063" t="s">
        <v>278</v>
      </c>
      <c r="HH1" s="1063"/>
      <c r="HI1" s="1063"/>
      <c r="HJ1" s="1063"/>
      <c r="HK1" s="1063"/>
      <c r="HL1" s="1063"/>
      <c r="HM1" s="515"/>
      <c r="HN1" s="513"/>
      <c r="HO1" s="5"/>
      <c r="HP1" s="1064" t="s">
        <v>279</v>
      </c>
      <c r="HQ1" s="1064"/>
      <c r="HR1" s="1064"/>
      <c r="HS1" s="1064"/>
      <c r="HT1" s="1064"/>
      <c r="HU1" s="1064"/>
      <c r="HV1" s="1064"/>
      <c r="HW1" s="1064"/>
      <c r="HX1" s="1064"/>
      <c r="HY1" s="510"/>
      <c r="HZ1" s="511"/>
      <c r="IA1" s="510"/>
      <c r="IB1" s="1065" t="s">
        <v>280</v>
      </c>
      <c r="IC1" s="1065"/>
      <c r="ID1" s="1065"/>
      <c r="IE1" s="1065"/>
      <c r="IF1" s="1065"/>
      <c r="IG1" s="1065"/>
      <c r="IH1" s="1065"/>
      <c r="II1" s="1065"/>
      <c r="IJ1" s="1065"/>
      <c r="IK1" s="1065"/>
      <c r="IL1" s="510"/>
      <c r="IM1" s="511"/>
      <c r="IN1" s="510"/>
      <c r="IO1" s="1065" t="s">
        <v>281</v>
      </c>
      <c r="IP1" s="1065"/>
      <c r="IQ1" s="1065"/>
      <c r="IR1" s="1065"/>
      <c r="IS1" s="1065"/>
      <c r="IT1" s="1065"/>
      <c r="IU1" s="1065"/>
      <c r="IV1" s="1065"/>
      <c r="IW1" s="1065"/>
      <c r="IX1" s="1065"/>
      <c r="IY1" s="1065"/>
      <c r="IZ1" s="1065"/>
      <c r="JA1" s="1065"/>
      <c r="JB1" s="1065"/>
      <c r="JC1" s="5"/>
      <c r="JD1" s="513"/>
      <c r="JE1" s="5"/>
      <c r="JF1" s="1064" t="s">
        <v>282</v>
      </c>
      <c r="JG1" s="1064"/>
      <c r="JH1" s="1064"/>
      <c r="JI1" s="1064"/>
      <c r="JJ1" s="1064"/>
      <c r="JK1" s="1064"/>
      <c r="JL1" s="1064"/>
      <c r="JM1" s="1064"/>
      <c r="JN1" s="1064"/>
      <c r="JO1" s="5"/>
      <c r="JP1" s="5"/>
      <c r="JQ1" s="513"/>
      <c r="JS1" s="516" t="s">
        <v>438</v>
      </c>
      <c r="JX1" s="516" t="s">
        <v>436</v>
      </c>
      <c r="JY1" s="516" t="s">
        <v>437</v>
      </c>
    </row>
    <row r="2" spans="1:292" ht="77.25" customHeight="1" x14ac:dyDescent="0.3">
      <c r="A2" s="517"/>
      <c r="B2" s="518"/>
      <c r="C2" s="75" t="s">
        <v>283</v>
      </c>
      <c r="D2" s="75" t="s">
        <v>284</v>
      </c>
      <c r="E2" s="75" t="s">
        <v>285</v>
      </c>
      <c r="F2" s="46"/>
      <c r="G2" s="519"/>
      <c r="H2" s="46"/>
      <c r="I2" s="517"/>
      <c r="J2" s="75" t="s">
        <v>286</v>
      </c>
      <c r="K2" s="75" t="s">
        <v>287</v>
      </c>
      <c r="L2" s="987" t="s">
        <v>288</v>
      </c>
      <c r="M2" s="75" t="s">
        <v>289</v>
      </c>
      <c r="N2" s="987" t="s">
        <v>290</v>
      </c>
      <c r="O2" s="75" t="s">
        <v>291</v>
      </c>
      <c r="P2" s="75" t="s">
        <v>292</v>
      </c>
      <c r="Q2" s="75" t="s">
        <v>293</v>
      </c>
      <c r="R2" s="46"/>
      <c r="S2" s="519"/>
      <c r="T2" s="46"/>
      <c r="U2" s="517"/>
      <c r="V2" s="75" t="s">
        <v>286</v>
      </c>
      <c r="W2" s="75" t="s">
        <v>287</v>
      </c>
      <c r="X2" s="75" t="s">
        <v>294</v>
      </c>
      <c r="Y2" s="75" t="s">
        <v>295</v>
      </c>
      <c r="Z2" s="46"/>
      <c r="AA2" s="519"/>
      <c r="AB2" s="46"/>
      <c r="AC2" s="520"/>
      <c r="AD2" s="521" t="s">
        <v>286</v>
      </c>
      <c r="AE2" s="75" t="s">
        <v>287</v>
      </c>
      <c r="AF2" s="988" t="s">
        <v>296</v>
      </c>
      <c r="AG2" s="46"/>
      <c r="AH2" s="519"/>
      <c r="AI2" s="46"/>
      <c r="AJ2" s="517"/>
      <c r="AK2" s="75"/>
      <c r="AL2" s="75" t="s">
        <v>127</v>
      </c>
      <c r="AM2" s="522"/>
      <c r="AN2" s="523"/>
      <c r="AO2" s="522"/>
      <c r="AP2" s="517"/>
      <c r="AQ2" s="75" t="s">
        <v>286</v>
      </c>
      <c r="AR2" s="75" t="s">
        <v>287</v>
      </c>
      <c r="AS2" s="75" t="s">
        <v>297</v>
      </c>
      <c r="AT2" s="1002" t="s">
        <v>298</v>
      </c>
      <c r="AU2" s="75" t="s">
        <v>299</v>
      </c>
      <c r="AV2" s="75" t="s">
        <v>300</v>
      </c>
      <c r="AW2" s="75" t="s">
        <v>301</v>
      </c>
      <c r="AX2" s="75" t="s">
        <v>302</v>
      </c>
      <c r="AY2" s="524" t="s">
        <v>303</v>
      </c>
      <c r="AZ2" s="524" t="s">
        <v>304</v>
      </c>
      <c r="BA2" s="46"/>
      <c r="BB2" s="519"/>
      <c r="BC2" s="177"/>
      <c r="BD2" s="517"/>
      <c r="BE2" s="75" t="s">
        <v>305</v>
      </c>
      <c r="BF2" s="75" t="s">
        <v>306</v>
      </c>
      <c r="BG2" s="75" t="s">
        <v>307</v>
      </c>
      <c r="BH2" s="46"/>
      <c r="BI2" s="519"/>
      <c r="BJ2" s="46"/>
      <c r="BK2" s="517"/>
      <c r="BL2" s="75" t="s">
        <v>286</v>
      </c>
      <c r="BM2" s="75" t="s">
        <v>287</v>
      </c>
      <c r="BN2" s="75" t="str">
        <f>BE4</f>
        <v>Direct and Collector Labour Allocator</v>
      </c>
      <c r="BO2" s="75" t="s">
        <v>308</v>
      </c>
      <c r="BP2" s="75" t="str">
        <f>BE5</f>
        <v>Volume Allocator</v>
      </c>
      <c r="BQ2" s="75" t="s">
        <v>309</v>
      </c>
      <c r="BR2" s="75" t="s">
        <v>310</v>
      </c>
      <c r="BS2" s="75" t="s">
        <v>285</v>
      </c>
      <c r="BT2" s="46"/>
      <c r="BU2" s="519"/>
      <c r="BV2" s="46"/>
      <c r="BW2" s="517"/>
      <c r="BX2" s="106"/>
      <c r="BY2" s="987" t="s">
        <v>311</v>
      </c>
      <c r="BZ2" s="75" t="s">
        <v>312</v>
      </c>
      <c r="CA2" s="75" t="s">
        <v>313</v>
      </c>
      <c r="CB2" s="75" t="s">
        <v>314</v>
      </c>
      <c r="CC2" s="75" t="s">
        <v>315</v>
      </c>
      <c r="CD2" s="75" t="s">
        <v>316</v>
      </c>
      <c r="CE2" s="46"/>
      <c r="CF2" s="519"/>
      <c r="CG2" s="46"/>
      <c r="CH2" s="517"/>
      <c r="CI2" s="75" t="s">
        <v>286</v>
      </c>
      <c r="CJ2" s="75" t="s">
        <v>287</v>
      </c>
      <c r="CK2" s="75" t="s">
        <v>317</v>
      </c>
      <c r="CL2" s="75" t="s">
        <v>318</v>
      </c>
      <c r="CM2" s="75" t="s">
        <v>319</v>
      </c>
      <c r="CN2" s="75" t="s">
        <v>320</v>
      </c>
      <c r="CO2" s="75" t="s">
        <v>321</v>
      </c>
      <c r="CP2" s="75" t="s">
        <v>322</v>
      </c>
      <c r="CQ2" s="75" t="s">
        <v>285</v>
      </c>
      <c r="CR2" s="46"/>
      <c r="CS2" s="519"/>
      <c r="CT2" s="46"/>
      <c r="CU2" s="517"/>
      <c r="CV2" s="75" t="s">
        <v>323</v>
      </c>
      <c r="CW2" s="75" t="s">
        <v>322</v>
      </c>
      <c r="CX2" s="75" t="s">
        <v>292</v>
      </c>
      <c r="CY2" s="525" t="s">
        <v>317</v>
      </c>
      <c r="CZ2" s="75" t="str">
        <f>CW2</f>
        <v>Building Allocator</v>
      </c>
      <c r="DA2" s="75" t="str">
        <f>CX2</f>
        <v>Pallet Allocator</v>
      </c>
      <c r="DB2" s="75" t="str">
        <f>CY2</f>
        <v>Volume Allocator</v>
      </c>
      <c r="DC2" s="987" t="s">
        <v>324</v>
      </c>
      <c r="DD2" s="46"/>
      <c r="DE2" s="519"/>
      <c r="DF2" s="46"/>
      <c r="DG2" s="517"/>
      <c r="DH2" s="75" t="s">
        <v>286</v>
      </c>
      <c r="DI2" s="75" t="s">
        <v>287</v>
      </c>
      <c r="DJ2" s="75" t="s">
        <v>322</v>
      </c>
      <c r="DK2" s="75" t="s">
        <v>325</v>
      </c>
      <c r="DL2" s="75" t="s">
        <v>292</v>
      </c>
      <c r="DM2" s="75" t="s">
        <v>326</v>
      </c>
      <c r="DN2" s="75" t="s">
        <v>317</v>
      </c>
      <c r="DO2" s="75" t="s">
        <v>327</v>
      </c>
      <c r="DP2" s="75" t="s">
        <v>328</v>
      </c>
      <c r="DQ2" s="75" t="s">
        <v>329</v>
      </c>
      <c r="DR2" s="75" t="s">
        <v>285</v>
      </c>
      <c r="DS2" s="46"/>
      <c r="DT2" s="519"/>
      <c r="DU2" s="46"/>
      <c r="DV2" s="517"/>
      <c r="DW2" s="75" t="s">
        <v>286</v>
      </c>
      <c r="DX2" s="75" t="s">
        <v>287</v>
      </c>
      <c r="DY2" s="75" t="s">
        <v>292</v>
      </c>
      <c r="DZ2" s="75" t="s">
        <v>330</v>
      </c>
      <c r="EA2" s="75" t="s">
        <v>285</v>
      </c>
      <c r="EB2" s="46"/>
      <c r="EC2" s="519"/>
      <c r="ED2" s="46"/>
      <c r="EE2" s="526"/>
      <c r="EF2" s="75" t="s">
        <v>305</v>
      </c>
      <c r="EG2" s="987" t="s">
        <v>331</v>
      </c>
      <c r="EH2" s="75" t="s">
        <v>306</v>
      </c>
      <c r="EI2" s="75" t="s">
        <v>307</v>
      </c>
      <c r="EJ2" s="46"/>
      <c r="EK2" s="519"/>
      <c r="EL2" s="46"/>
      <c r="EM2" s="517"/>
      <c r="EN2" s="75" t="s">
        <v>286</v>
      </c>
      <c r="EO2" s="75" t="s">
        <v>287</v>
      </c>
      <c r="EP2" s="75" t="s">
        <v>295</v>
      </c>
      <c r="EQ2" s="75" t="s">
        <v>332</v>
      </c>
      <c r="ER2" s="75" t="s">
        <v>322</v>
      </c>
      <c r="ES2" s="75" t="s">
        <v>333</v>
      </c>
      <c r="ET2" s="75" t="s">
        <v>317</v>
      </c>
      <c r="EU2" s="75" t="s">
        <v>334</v>
      </c>
      <c r="EV2" s="75" t="s">
        <v>335</v>
      </c>
      <c r="EW2" s="75" t="s">
        <v>329</v>
      </c>
      <c r="EX2" s="75" t="s">
        <v>285</v>
      </c>
      <c r="EY2" s="46"/>
      <c r="EZ2" s="519"/>
      <c r="FA2" s="46"/>
      <c r="FB2" s="527"/>
      <c r="FC2" s="64" t="s">
        <v>126</v>
      </c>
      <c r="FD2" s="64" t="s">
        <v>336</v>
      </c>
      <c r="FE2" s="46"/>
      <c r="FF2" s="519"/>
      <c r="FG2" s="46"/>
      <c r="FH2" s="517"/>
      <c r="FI2" s="75" t="s">
        <v>286</v>
      </c>
      <c r="FJ2" s="75" t="s">
        <v>287</v>
      </c>
      <c r="FK2" s="75" t="str">
        <f>Y2</f>
        <v>Business Cost Allocator</v>
      </c>
      <c r="FL2" s="75" t="s">
        <v>337</v>
      </c>
      <c r="FM2" s="75" t="s">
        <v>285</v>
      </c>
      <c r="FN2" s="46"/>
      <c r="FQ2" s="517"/>
      <c r="FR2" s="75" t="s">
        <v>286</v>
      </c>
      <c r="FS2" s="75" t="s">
        <v>287</v>
      </c>
      <c r="FT2" s="75" t="s">
        <v>338</v>
      </c>
      <c r="FU2" s="75" t="s">
        <v>48</v>
      </c>
      <c r="FV2" s="75" t="s">
        <v>339</v>
      </c>
      <c r="FW2" s="75" t="s">
        <v>52</v>
      </c>
      <c r="FX2" s="75" t="s">
        <v>50</v>
      </c>
      <c r="FY2" s="75" t="s">
        <v>53</v>
      </c>
      <c r="FZ2" s="75" t="s">
        <v>336</v>
      </c>
      <c r="GA2" s="75" t="s">
        <v>340</v>
      </c>
      <c r="GB2" s="75" t="s">
        <v>285</v>
      </c>
      <c r="GC2" s="46"/>
      <c r="GF2" s="517"/>
      <c r="GG2" s="75" t="s">
        <v>286</v>
      </c>
      <c r="GH2" s="75" t="s">
        <v>287</v>
      </c>
      <c r="GI2" s="75" t="s">
        <v>341</v>
      </c>
      <c r="GJ2" s="75" t="s">
        <v>342</v>
      </c>
      <c r="GK2" s="75" t="s">
        <v>343</v>
      </c>
      <c r="GL2" s="75" t="s">
        <v>344</v>
      </c>
      <c r="GM2" s="75" t="s">
        <v>345</v>
      </c>
      <c r="GN2" s="75" t="s">
        <v>346</v>
      </c>
      <c r="GO2" s="75" t="s">
        <v>347</v>
      </c>
      <c r="GP2" s="75" t="s">
        <v>285</v>
      </c>
      <c r="GQ2" s="1002" t="s">
        <v>118</v>
      </c>
      <c r="GR2" s="529"/>
      <c r="GU2" s="517"/>
      <c r="GV2" s="75" t="s">
        <v>286</v>
      </c>
      <c r="GW2" s="75" t="s">
        <v>287</v>
      </c>
      <c r="GX2" s="75" t="s">
        <v>293</v>
      </c>
      <c r="GY2" s="75" t="s">
        <v>340</v>
      </c>
      <c r="GZ2" s="75" t="s">
        <v>118</v>
      </c>
      <c r="HA2" s="75" t="s">
        <v>348</v>
      </c>
      <c r="HB2" s="75" t="s">
        <v>349</v>
      </c>
      <c r="HC2" s="75" t="s">
        <v>350</v>
      </c>
      <c r="HD2" s="46"/>
      <c r="HG2" s="517"/>
      <c r="HH2" s="75" t="s">
        <v>293</v>
      </c>
      <c r="HI2" s="75" t="s">
        <v>340</v>
      </c>
      <c r="HJ2" s="75" t="s">
        <v>118</v>
      </c>
      <c r="HK2" s="75" t="s">
        <v>349</v>
      </c>
      <c r="HL2" s="75" t="s">
        <v>350</v>
      </c>
      <c r="HM2" s="46"/>
      <c r="HP2" s="517"/>
      <c r="HQ2" s="531" t="s">
        <v>286</v>
      </c>
      <c r="HR2" s="531" t="str">
        <f>FS2</f>
        <v>Container Stream</v>
      </c>
      <c r="HS2" s="989" t="s">
        <v>118</v>
      </c>
      <c r="HT2" s="531" t="s">
        <v>351</v>
      </c>
      <c r="HU2" s="989" t="s">
        <v>428</v>
      </c>
      <c r="HV2" s="531" t="s">
        <v>73</v>
      </c>
      <c r="HW2" s="531" t="s">
        <v>352</v>
      </c>
      <c r="HX2" s="531" t="s">
        <v>353</v>
      </c>
      <c r="HY2" s="46"/>
      <c r="HZ2" s="519"/>
      <c r="IB2" s="532" t="s">
        <v>354</v>
      </c>
      <c r="IC2" s="532" t="s">
        <v>355</v>
      </c>
      <c r="ID2" s="532" t="s">
        <v>356</v>
      </c>
      <c r="IE2" s="532" t="s">
        <v>357</v>
      </c>
      <c r="IF2" s="532" t="s">
        <v>358</v>
      </c>
      <c r="IG2" s="532" t="s">
        <v>283</v>
      </c>
      <c r="IH2" s="532" t="s">
        <v>359</v>
      </c>
      <c r="II2" s="989" t="s">
        <v>360</v>
      </c>
      <c r="IJ2" s="532" t="s">
        <v>361</v>
      </c>
      <c r="IK2" s="532" t="s">
        <v>362</v>
      </c>
      <c r="IL2" s="46"/>
      <c r="IM2" s="519"/>
      <c r="IN2" s="46"/>
      <c r="IO2" s="533"/>
      <c r="IP2" s="532" t="s">
        <v>286</v>
      </c>
      <c r="IQ2" s="532" t="s">
        <v>287</v>
      </c>
      <c r="IR2" s="532" t="s">
        <v>340</v>
      </c>
      <c r="IS2" s="532" t="s">
        <v>118</v>
      </c>
      <c r="IT2" s="532" t="s">
        <v>363</v>
      </c>
      <c r="IU2" s="532" t="s">
        <v>364</v>
      </c>
      <c r="IV2" s="532" t="s">
        <v>365</v>
      </c>
      <c r="IW2" s="532" t="s">
        <v>366</v>
      </c>
      <c r="IX2" s="534" t="s">
        <v>367</v>
      </c>
      <c r="IY2" s="534" t="s">
        <v>368</v>
      </c>
      <c r="IZ2" s="534" t="s">
        <v>369</v>
      </c>
      <c r="JA2" s="534" t="s">
        <v>370</v>
      </c>
      <c r="JB2" s="534" t="s">
        <v>371</v>
      </c>
      <c r="JF2" s="517"/>
      <c r="JG2" s="531" t="s">
        <v>286</v>
      </c>
      <c r="JH2" s="531" t="str">
        <f>FS2</f>
        <v>Container Stream</v>
      </c>
      <c r="JI2" s="989" t="s">
        <v>118</v>
      </c>
      <c r="JJ2" s="531" t="s">
        <v>372</v>
      </c>
      <c r="JK2" s="989" t="s">
        <v>429</v>
      </c>
      <c r="JL2" s="531" t="s">
        <v>73</v>
      </c>
      <c r="JM2" s="531" t="s">
        <v>352</v>
      </c>
      <c r="JN2" s="531" t="s">
        <v>353</v>
      </c>
      <c r="JS2" s="531" t="s">
        <v>434</v>
      </c>
      <c r="JT2" s="531" t="s">
        <v>132</v>
      </c>
      <c r="JU2" s="989" t="s">
        <v>118</v>
      </c>
      <c r="JV2" s="1008" t="s">
        <v>441</v>
      </c>
      <c r="JX2" s="1008" t="s">
        <v>440</v>
      </c>
      <c r="JY2" s="1008" t="s">
        <v>439</v>
      </c>
      <c r="JZ2" s="516"/>
      <c r="KA2" s="516"/>
      <c r="KB2" s="516"/>
      <c r="KC2" s="516"/>
      <c r="KE2" s="516"/>
      <c r="KF2" s="516"/>
    </row>
    <row r="3" spans="1:292" ht="16.5" customHeight="1" x14ac:dyDescent="0.3">
      <c r="A3" s="535" t="s">
        <v>133</v>
      </c>
      <c r="B3" s="145" t="s">
        <v>134</v>
      </c>
      <c r="C3" s="145" t="s">
        <v>135</v>
      </c>
      <c r="D3" s="145" t="s">
        <v>159</v>
      </c>
      <c r="E3" s="145" t="s">
        <v>137</v>
      </c>
      <c r="F3" s="123"/>
      <c r="G3" s="536"/>
      <c r="H3" s="123"/>
      <c r="I3" s="535" t="s">
        <v>133</v>
      </c>
      <c r="J3" s="145" t="s">
        <v>134</v>
      </c>
      <c r="K3" s="145" t="s">
        <v>135</v>
      </c>
      <c r="L3" s="145" t="s">
        <v>147</v>
      </c>
      <c r="M3" s="145" t="s">
        <v>137</v>
      </c>
      <c r="N3" s="145" t="s">
        <v>138</v>
      </c>
      <c r="O3" s="145" t="s">
        <v>139</v>
      </c>
      <c r="P3" s="145" t="s">
        <v>140</v>
      </c>
      <c r="Q3" s="143" t="s">
        <v>141</v>
      </c>
      <c r="R3" s="123"/>
      <c r="S3" s="536"/>
      <c r="T3" s="123"/>
      <c r="U3" s="535" t="s">
        <v>133</v>
      </c>
      <c r="V3" s="145" t="s">
        <v>134</v>
      </c>
      <c r="W3" s="145" t="s">
        <v>135</v>
      </c>
      <c r="X3" s="145" t="s">
        <v>147</v>
      </c>
      <c r="Y3" s="145" t="s">
        <v>137</v>
      </c>
      <c r="Z3" s="123"/>
      <c r="AA3" s="536"/>
      <c r="AB3" s="123"/>
      <c r="AC3" s="535" t="s">
        <v>133</v>
      </c>
      <c r="AD3" s="145" t="s">
        <v>134</v>
      </c>
      <c r="AE3" s="145" t="s">
        <v>135</v>
      </c>
      <c r="AF3" s="145" t="s">
        <v>147</v>
      </c>
      <c r="AG3" s="123"/>
      <c r="AH3" s="536"/>
      <c r="AI3" s="123"/>
      <c r="AJ3" s="537" t="s">
        <v>133</v>
      </c>
      <c r="AK3" s="145" t="s">
        <v>134</v>
      </c>
      <c r="AL3" s="145" t="s">
        <v>135</v>
      </c>
      <c r="AM3" s="538"/>
      <c r="AN3" s="539"/>
      <c r="AO3" s="538"/>
      <c r="AP3" s="537" t="s">
        <v>133</v>
      </c>
      <c r="AQ3" s="145" t="s">
        <v>134</v>
      </c>
      <c r="AR3" s="145" t="s">
        <v>135</v>
      </c>
      <c r="AS3" s="145" t="s">
        <v>147</v>
      </c>
      <c r="AT3" s="540" t="s">
        <v>137</v>
      </c>
      <c r="AU3" s="145" t="s">
        <v>138</v>
      </c>
      <c r="AV3" s="145" t="s">
        <v>139</v>
      </c>
      <c r="AW3" s="145" t="s">
        <v>140</v>
      </c>
      <c r="AX3" s="145" t="s">
        <v>141</v>
      </c>
      <c r="AY3" s="123" t="s">
        <v>143</v>
      </c>
      <c r="AZ3" s="123" t="s">
        <v>142</v>
      </c>
      <c r="BA3" s="123"/>
      <c r="BB3" s="536"/>
      <c r="BC3" s="143"/>
      <c r="BD3" s="535" t="s">
        <v>133</v>
      </c>
      <c r="BE3" s="145" t="s">
        <v>134</v>
      </c>
      <c r="BF3" s="145" t="s">
        <v>147</v>
      </c>
      <c r="BG3" s="145" t="s">
        <v>137</v>
      </c>
      <c r="BH3" s="123"/>
      <c r="BI3" s="536"/>
      <c r="BJ3" s="123"/>
      <c r="BK3" s="535" t="s">
        <v>133</v>
      </c>
      <c r="BL3" s="145" t="s">
        <v>134</v>
      </c>
      <c r="BM3" s="145" t="s">
        <v>135</v>
      </c>
      <c r="BN3" s="145" t="s">
        <v>159</v>
      </c>
      <c r="BO3" s="145" t="s">
        <v>137</v>
      </c>
      <c r="BP3" s="145" t="s">
        <v>138</v>
      </c>
      <c r="BQ3" s="145" t="s">
        <v>139</v>
      </c>
      <c r="BR3" s="143" t="s">
        <v>140</v>
      </c>
      <c r="BS3" s="143" t="s">
        <v>141</v>
      </c>
      <c r="BT3" s="123"/>
      <c r="BU3" s="536"/>
      <c r="BV3" s="123"/>
      <c r="BW3" s="537" t="s">
        <v>133</v>
      </c>
      <c r="BX3" s="145" t="s">
        <v>134</v>
      </c>
      <c r="BY3" s="145" t="s">
        <v>135</v>
      </c>
      <c r="BZ3" s="145" t="s">
        <v>147</v>
      </c>
      <c r="CA3" s="145" t="s">
        <v>137</v>
      </c>
      <c r="CB3" s="145" t="s">
        <v>138</v>
      </c>
      <c r="CC3" s="145" t="s">
        <v>139</v>
      </c>
      <c r="CD3" s="145" t="s">
        <v>140</v>
      </c>
      <c r="CE3" s="123"/>
      <c r="CF3" s="536"/>
      <c r="CG3" s="123"/>
      <c r="CH3" s="535" t="s">
        <v>133</v>
      </c>
      <c r="CI3" s="145" t="s">
        <v>134</v>
      </c>
      <c r="CJ3" s="145" t="s">
        <v>135</v>
      </c>
      <c r="CK3" s="145" t="s">
        <v>147</v>
      </c>
      <c r="CL3" s="145" t="s">
        <v>137</v>
      </c>
      <c r="CM3" s="145" t="s">
        <v>138</v>
      </c>
      <c r="CN3" s="145" t="s">
        <v>139</v>
      </c>
      <c r="CO3" s="145" t="s">
        <v>140</v>
      </c>
      <c r="CP3" s="145" t="s">
        <v>141</v>
      </c>
      <c r="CQ3" s="145" t="s">
        <v>142</v>
      </c>
      <c r="CR3" s="123"/>
      <c r="CS3" s="536"/>
      <c r="CT3" s="123"/>
      <c r="CU3" s="535" t="s">
        <v>133</v>
      </c>
      <c r="CV3" s="145" t="s">
        <v>134</v>
      </c>
      <c r="CW3" s="145" t="s">
        <v>135</v>
      </c>
      <c r="CX3" s="145" t="s">
        <v>159</v>
      </c>
      <c r="CY3" s="145" t="s">
        <v>137</v>
      </c>
      <c r="CZ3" s="145" t="s">
        <v>160</v>
      </c>
      <c r="DA3" s="145" t="s">
        <v>373</v>
      </c>
      <c r="DB3" s="145" t="s">
        <v>140</v>
      </c>
      <c r="DC3" s="145" t="s">
        <v>374</v>
      </c>
      <c r="DD3" s="123"/>
      <c r="DE3" s="536"/>
      <c r="DF3" s="123"/>
      <c r="DG3" s="535" t="s">
        <v>133</v>
      </c>
      <c r="DH3" s="145" t="s">
        <v>134</v>
      </c>
      <c r="DI3" s="145" t="s">
        <v>135</v>
      </c>
      <c r="DJ3" s="145" t="s">
        <v>147</v>
      </c>
      <c r="DK3" s="145" t="s">
        <v>137</v>
      </c>
      <c r="DL3" s="145" t="s">
        <v>138</v>
      </c>
      <c r="DM3" s="145" t="s">
        <v>139</v>
      </c>
      <c r="DN3" s="145" t="s">
        <v>140</v>
      </c>
      <c r="DO3" s="145" t="s">
        <v>141</v>
      </c>
      <c r="DP3" s="145" t="s">
        <v>142</v>
      </c>
      <c r="DQ3" s="145" t="s">
        <v>143</v>
      </c>
      <c r="DR3" s="145" t="s">
        <v>144</v>
      </c>
      <c r="DS3" s="123"/>
      <c r="DT3" s="536"/>
      <c r="DU3" s="123"/>
      <c r="DV3" s="535" t="s">
        <v>133</v>
      </c>
      <c r="DW3" s="145" t="s">
        <v>134</v>
      </c>
      <c r="DX3" s="145" t="s">
        <v>135</v>
      </c>
      <c r="DY3" s="145" t="s">
        <v>147</v>
      </c>
      <c r="DZ3" s="145" t="s">
        <v>137</v>
      </c>
      <c r="EA3" s="145" t="s">
        <v>160</v>
      </c>
      <c r="EB3" s="123"/>
      <c r="EC3" s="536"/>
      <c r="ED3" s="123"/>
      <c r="EE3" s="535" t="s">
        <v>133</v>
      </c>
      <c r="EF3" s="145" t="s">
        <v>134</v>
      </c>
      <c r="EG3" s="145" t="s">
        <v>135</v>
      </c>
      <c r="EH3" s="145" t="s">
        <v>147</v>
      </c>
      <c r="EI3" s="145" t="s">
        <v>137</v>
      </c>
      <c r="EJ3" s="123"/>
      <c r="EK3" s="536"/>
      <c r="EL3" s="123"/>
      <c r="EM3" s="537" t="s">
        <v>133</v>
      </c>
      <c r="EN3" s="145" t="s">
        <v>134</v>
      </c>
      <c r="EO3" s="145" t="s">
        <v>135</v>
      </c>
      <c r="EP3" s="145" t="s">
        <v>147</v>
      </c>
      <c r="EQ3" s="145" t="s">
        <v>137</v>
      </c>
      <c r="ER3" s="145" t="s">
        <v>138</v>
      </c>
      <c r="ES3" s="145" t="s">
        <v>139</v>
      </c>
      <c r="ET3" s="145" t="s">
        <v>140</v>
      </c>
      <c r="EU3" s="145" t="s">
        <v>141</v>
      </c>
      <c r="EV3" s="145" t="s">
        <v>142</v>
      </c>
      <c r="EW3" s="145" t="s">
        <v>143</v>
      </c>
      <c r="EX3" s="145" t="s">
        <v>144</v>
      </c>
      <c r="EY3" s="123"/>
      <c r="EZ3" s="536"/>
      <c r="FA3" s="123"/>
      <c r="FB3" s="535" t="s">
        <v>133</v>
      </c>
      <c r="FC3" s="145" t="s">
        <v>134</v>
      </c>
      <c r="FD3" s="145" t="s">
        <v>135</v>
      </c>
      <c r="FE3" s="123"/>
      <c r="FF3" s="536"/>
      <c r="FG3" s="123"/>
      <c r="FH3" s="535" t="s">
        <v>133</v>
      </c>
      <c r="FI3" s="145" t="s">
        <v>134</v>
      </c>
      <c r="FJ3" s="145" t="s">
        <v>135</v>
      </c>
      <c r="FK3" s="145" t="s">
        <v>147</v>
      </c>
      <c r="FL3" s="145" t="s">
        <v>137</v>
      </c>
      <c r="FM3" s="145" t="s">
        <v>160</v>
      </c>
      <c r="FN3" s="123"/>
      <c r="FO3" s="541"/>
      <c r="FP3" s="60"/>
      <c r="FQ3" s="535" t="s">
        <v>133</v>
      </c>
      <c r="FR3" s="145" t="s">
        <v>134</v>
      </c>
      <c r="FS3" s="145" t="s">
        <v>135</v>
      </c>
      <c r="FT3" s="145" t="s">
        <v>147</v>
      </c>
      <c r="FU3" s="540" t="s">
        <v>137</v>
      </c>
      <c r="FV3" s="145" t="s">
        <v>138</v>
      </c>
      <c r="FW3" s="145" t="s">
        <v>139</v>
      </c>
      <c r="FX3" s="143" t="s">
        <v>140</v>
      </c>
      <c r="FY3" s="143" t="s">
        <v>141</v>
      </c>
      <c r="FZ3" s="143" t="s">
        <v>142</v>
      </c>
      <c r="GA3" s="542" t="s">
        <v>143</v>
      </c>
      <c r="GB3" s="145" t="s">
        <v>144</v>
      </c>
      <c r="GC3" s="538"/>
      <c r="GD3" s="541"/>
      <c r="GE3" s="60"/>
      <c r="GF3" s="535" t="s">
        <v>133</v>
      </c>
      <c r="GG3" s="145" t="s">
        <v>134</v>
      </c>
      <c r="GH3" s="145" t="s">
        <v>135</v>
      </c>
      <c r="GI3" s="145" t="s">
        <v>147</v>
      </c>
      <c r="GJ3" s="145" t="s">
        <v>137</v>
      </c>
      <c r="GK3" s="540" t="s">
        <v>138</v>
      </c>
      <c r="GL3" s="145" t="s">
        <v>139</v>
      </c>
      <c r="GM3" s="145" t="s">
        <v>140</v>
      </c>
      <c r="GN3" s="143" t="s">
        <v>141</v>
      </c>
      <c r="GO3" s="143" t="s">
        <v>142</v>
      </c>
      <c r="GP3" s="143" t="s">
        <v>143</v>
      </c>
      <c r="GQ3" s="145" t="s">
        <v>144</v>
      </c>
      <c r="GU3" s="535" t="s">
        <v>133</v>
      </c>
      <c r="GV3" s="145" t="s">
        <v>134</v>
      </c>
      <c r="GW3" s="145" t="s">
        <v>135</v>
      </c>
      <c r="GX3" s="145" t="s">
        <v>147</v>
      </c>
      <c r="GY3" s="542" t="s">
        <v>137</v>
      </c>
      <c r="GZ3" s="145" t="s">
        <v>138</v>
      </c>
      <c r="HA3" s="145" t="s">
        <v>139</v>
      </c>
      <c r="HB3" s="145" t="s">
        <v>140</v>
      </c>
      <c r="HC3" s="145" t="s">
        <v>141</v>
      </c>
      <c r="HD3" s="538"/>
      <c r="HG3" s="535" t="s">
        <v>133</v>
      </c>
      <c r="HH3" s="145" t="s">
        <v>134</v>
      </c>
      <c r="HI3" s="145" t="s">
        <v>135</v>
      </c>
      <c r="HJ3" s="145" t="s">
        <v>147</v>
      </c>
      <c r="HK3" s="542" t="s">
        <v>137</v>
      </c>
      <c r="HL3" s="145" t="s">
        <v>138</v>
      </c>
      <c r="HM3" s="538"/>
      <c r="HP3" s="535" t="s">
        <v>133</v>
      </c>
      <c r="HQ3" s="145" t="s">
        <v>134</v>
      </c>
      <c r="HR3" s="145" t="s">
        <v>135</v>
      </c>
      <c r="HS3" s="145" t="s">
        <v>147</v>
      </c>
      <c r="HT3" s="145" t="s">
        <v>137</v>
      </c>
      <c r="HU3" s="145" t="s">
        <v>138</v>
      </c>
      <c r="HV3" s="540" t="s">
        <v>139</v>
      </c>
      <c r="HW3" s="540" t="s">
        <v>140</v>
      </c>
      <c r="HX3" s="540" t="s">
        <v>141</v>
      </c>
      <c r="HY3" s="123"/>
      <c r="HZ3" s="536"/>
      <c r="IB3" s="145" t="s">
        <v>134</v>
      </c>
      <c r="IC3" s="145" t="s">
        <v>135</v>
      </c>
      <c r="ID3" s="145" t="s">
        <v>147</v>
      </c>
      <c r="IE3" s="145" t="s">
        <v>137</v>
      </c>
      <c r="IF3" s="145" t="s">
        <v>138</v>
      </c>
      <c r="IG3" s="145" t="s">
        <v>139</v>
      </c>
      <c r="IH3" s="145" t="s">
        <v>140</v>
      </c>
      <c r="II3" s="145" t="s">
        <v>141</v>
      </c>
      <c r="IJ3" s="145" t="s">
        <v>142</v>
      </c>
      <c r="IK3" s="145" t="s">
        <v>143</v>
      </c>
      <c r="IL3" s="123"/>
      <c r="IM3" s="536"/>
      <c r="IN3" s="123"/>
      <c r="IO3" s="535" t="s">
        <v>133</v>
      </c>
      <c r="IP3" s="145" t="s">
        <v>134</v>
      </c>
      <c r="IQ3" s="145" t="s">
        <v>135</v>
      </c>
      <c r="IR3" s="145" t="s">
        <v>147</v>
      </c>
      <c r="IS3" s="145" t="s">
        <v>137</v>
      </c>
      <c r="IT3" s="145" t="s">
        <v>138</v>
      </c>
      <c r="IU3" s="145" t="s">
        <v>139</v>
      </c>
      <c r="IV3" s="143" t="s">
        <v>140</v>
      </c>
      <c r="IW3" s="143" t="s">
        <v>141</v>
      </c>
      <c r="IX3" s="143" t="s">
        <v>142</v>
      </c>
      <c r="IY3" s="143" t="s">
        <v>143</v>
      </c>
      <c r="IZ3" s="143" t="s">
        <v>144</v>
      </c>
      <c r="JA3" s="143" t="s">
        <v>145</v>
      </c>
      <c r="JB3" s="143" t="s">
        <v>146</v>
      </c>
      <c r="JF3" s="535" t="s">
        <v>133</v>
      </c>
      <c r="JG3" s="145" t="s">
        <v>134</v>
      </c>
      <c r="JH3" s="145" t="s">
        <v>135</v>
      </c>
      <c r="JI3" s="145" t="s">
        <v>147</v>
      </c>
      <c r="JJ3" s="145" t="s">
        <v>137</v>
      </c>
      <c r="JK3" s="145" t="s">
        <v>138</v>
      </c>
      <c r="JL3" s="540" t="s">
        <v>139</v>
      </c>
      <c r="JM3" s="540" t="s">
        <v>140</v>
      </c>
      <c r="JN3" s="540" t="s">
        <v>141</v>
      </c>
      <c r="JS3" s="145" t="s">
        <v>137</v>
      </c>
      <c r="JT3" s="145"/>
      <c r="JU3" s="145"/>
      <c r="JV3" s="145"/>
      <c r="JZ3" s="516"/>
      <c r="KA3" s="1013" t="s">
        <v>448</v>
      </c>
      <c r="KB3" s="516"/>
      <c r="KC3" s="516"/>
      <c r="KE3" s="516"/>
      <c r="KF3" s="516"/>
    </row>
    <row r="4" spans="1:292" ht="17.25" thickBot="1" x14ac:dyDescent="0.35">
      <c r="A4" s="543">
        <v>1</v>
      </c>
      <c r="B4" s="645" t="s">
        <v>46</v>
      </c>
      <c r="C4" s="646">
        <f>'DCA 8 month Phase I'!MC14</f>
        <v>40150541.638328679</v>
      </c>
      <c r="D4" s="647">
        <f t="shared" ref="D4:D12" si="0">C4/$C$13</f>
        <v>0.30942565361775404</v>
      </c>
      <c r="E4" s="986">
        <v>1.8263026622357388</v>
      </c>
      <c r="I4" s="543">
        <v>1</v>
      </c>
      <c r="J4" s="654">
        <f t="shared" ref="J4:J27" si="1">FR4</f>
        <v>1</v>
      </c>
      <c r="K4" s="655" t="s">
        <v>380</v>
      </c>
      <c r="L4" s="991">
        <v>1099914562.8562493</v>
      </c>
      <c r="M4" s="657">
        <f t="shared" ref="M4:M27" si="2">L4/$L$28</f>
        <v>0.50031128159392002</v>
      </c>
      <c r="N4" s="656">
        <v>2193</v>
      </c>
      <c r="O4" s="656">
        <f>IFERROR(L4/N4,0)</f>
        <v>501557.02820622403</v>
      </c>
      <c r="P4" s="657">
        <f t="shared" ref="P4:P27" si="3">O4/$O$28</f>
        <v>0.28085969563830204</v>
      </c>
      <c r="Q4" s="658" t="s">
        <v>379</v>
      </c>
      <c r="U4" s="545">
        <v>1</v>
      </c>
      <c r="V4" s="669">
        <f t="shared" ref="V4:V27" si="4">FR4</f>
        <v>1</v>
      </c>
      <c r="W4" s="655" t="s">
        <v>380</v>
      </c>
      <c r="X4" s="646">
        <f>SUM(FT4:FX4)</f>
        <v>33040741.28050825</v>
      </c>
      <c r="Y4" s="657">
        <f t="shared" ref="Y4:Y27" si="5">SUM(FT4:FX4)/SUM($FT$28:$FX$28)</f>
        <v>0.34129907770369505</v>
      </c>
      <c r="AC4" s="545">
        <v>1</v>
      </c>
      <c r="AD4" s="678">
        <v>1</v>
      </c>
      <c r="AE4" s="679" t="s">
        <v>380</v>
      </c>
      <c r="AF4" s="680">
        <v>1.94</v>
      </c>
      <c r="AJ4" s="545">
        <v>1</v>
      </c>
      <c r="AK4" s="687" t="s">
        <v>376</v>
      </c>
      <c r="AL4" s="689">
        <f>C4+C5</f>
        <v>42148432.850808546</v>
      </c>
      <c r="AM4" s="546"/>
      <c r="AN4" s="547"/>
      <c r="AO4" s="546"/>
      <c r="AP4" s="545">
        <v>1</v>
      </c>
      <c r="AQ4" s="693">
        <f t="shared" ref="AQ4:AQ27" si="6">FR4</f>
        <v>1</v>
      </c>
      <c r="AR4" s="655" t="s">
        <v>380</v>
      </c>
      <c r="AS4" s="655">
        <f t="shared" ref="AS4:AS27" si="7">VLOOKUP(AQ4,$AD$4:$AF$27,$AS$30,FALSE)</f>
        <v>1.94</v>
      </c>
      <c r="AT4" s="694">
        <f>L4</f>
        <v>1099914562.8562493</v>
      </c>
      <c r="AU4" s="694">
        <f>AT4*AS4/3600</f>
        <v>592731.7366503122</v>
      </c>
      <c r="AV4" s="695">
        <f t="shared" ref="AV4:AV27" si="8">AU4*$AL$5/$AU$28</f>
        <v>610972.45821044233</v>
      </c>
      <c r="AW4" s="696">
        <f t="shared" ref="AW4:AW27" si="9">$AL$6</f>
        <v>21.592508896755891</v>
      </c>
      <c r="AX4" s="646">
        <f>AV4*AW4</f>
        <v>13192428.239581794</v>
      </c>
      <c r="AY4" s="544">
        <f>AX4/$AX$28</f>
        <v>0.31299925874536333</v>
      </c>
      <c r="AZ4" s="548">
        <f t="shared" ref="AZ4:AZ27" si="10">IF($AT4=0,0,ROUND(IF(VLOOKUP(AQ4,$AQ$4:$AT$27,$AZ$30,FALSE)&lt;&gt;0,AX4/VLOOKUP(AQ4,$AQ$4:$AT$27,$AZ$30,FALSE)*100,""),6))</f>
        <v>1.1994050000000001</v>
      </c>
      <c r="BD4" s="543">
        <v>1</v>
      </c>
      <c r="BE4" s="655" t="str">
        <f>AY2</f>
        <v>Direct and Collector Labour Allocator</v>
      </c>
      <c r="BF4" s="657">
        <v>0.5</v>
      </c>
      <c r="BG4" s="646">
        <f>BF4*$BG$6</f>
        <v>9586712.8881295025</v>
      </c>
      <c r="BK4" s="543">
        <v>1</v>
      </c>
      <c r="BL4" s="658">
        <f t="shared" ref="BL4:BL27" si="11">FR4</f>
        <v>1</v>
      </c>
      <c r="BM4" s="655" t="s">
        <v>380</v>
      </c>
      <c r="BN4" s="657">
        <f>VLOOKUP(BL4,$AQ$4:$AY$28,$BN$33,FALSE)</f>
        <v>0.31299925874536333</v>
      </c>
      <c r="BO4" s="646">
        <f>BN4*$BO$28</f>
        <v>3000634.0277891555</v>
      </c>
      <c r="BP4" s="657">
        <f>VLOOKUP(BL4,$J$4:$M$27,$BP$33,FALSE)</f>
        <v>0.50031128159392002</v>
      </c>
      <c r="BQ4" s="646">
        <f>BP4*$BQ$28</f>
        <v>4796340.6113330219</v>
      </c>
      <c r="BR4" s="708">
        <f t="shared" ref="BR4:BR27" si="12">BQ4+BO4</f>
        <v>7796974.6391221769</v>
      </c>
      <c r="BS4" s="709">
        <f t="shared" ref="BS4:BS27" si="13">IF($AT4=0,0,ROUND(IF(VLOOKUP(BL4,$AQ$4:$AT$27,$AZ$30,FALSE)&lt;&gt;0,BR4/VLOOKUP(BL4,$AQ$4:$AT$27,$AZ$30,FALSE)*100,""),6))</f>
        <v>0.70887100000000003</v>
      </c>
      <c r="BW4" s="543">
        <v>1</v>
      </c>
      <c r="BX4" s="655" t="s">
        <v>377</v>
      </c>
      <c r="BY4" s="647">
        <v>7.564777291050645E-2</v>
      </c>
      <c r="BZ4" s="715">
        <f>BY4*$BZ$9</f>
        <v>1896770.8291299783</v>
      </c>
      <c r="CA4" s="648">
        <v>1</v>
      </c>
      <c r="CB4" s="648"/>
      <c r="CC4" s="715">
        <f t="shared" ref="CC4:CD8" si="14">CA4*$BZ4</f>
        <v>1896770.8291299783</v>
      </c>
      <c r="CD4" s="715">
        <f t="shared" si="14"/>
        <v>0</v>
      </c>
      <c r="CH4" s="543">
        <v>1</v>
      </c>
      <c r="CI4" s="678">
        <f t="shared" ref="CI4:CI27" si="15">FR4</f>
        <v>1</v>
      </c>
      <c r="CJ4" s="655" t="s">
        <v>380</v>
      </c>
      <c r="CK4" s="657">
        <f t="shared" ref="CK4:CK27" si="16">VLOOKUP(CI4,$J$4:$M$27,$CK$32,FALSE)</f>
        <v>0.50031128159392002</v>
      </c>
      <c r="CL4" s="646">
        <f t="shared" ref="CL4:CL27" si="17">CK4*$CL$28</f>
        <v>2932694.0398313599</v>
      </c>
      <c r="CM4" s="657">
        <f t="shared" ref="CM4:CM27" si="18">VLOOKUP(CI4,$J$4:$P$27,$CM$32,FALSE)</f>
        <v>0.28085969563830204</v>
      </c>
      <c r="CN4" s="646">
        <f t="shared" ref="CN4:CN27" si="19">CM4*$CN$28</f>
        <v>5395870.2802123269</v>
      </c>
      <c r="CO4" s="646">
        <f t="shared" ref="CO4:CO27" si="20">CN4+CL4</f>
        <v>8328564.3200436868</v>
      </c>
      <c r="CP4" s="657">
        <f t="shared" ref="CP4:CP27" si="21">CO4/$CO$28</f>
        <v>0.33216313361493449</v>
      </c>
      <c r="CQ4" s="709">
        <f t="shared" ref="CQ4:CQ27" si="22">IF($AT4=0,0,ROUND(IF(VLOOKUP(CI4,$AQ$4:$AT$27,$AZ$30,FALSE)&lt;&gt;0,CO4/VLOOKUP(CI4,$AQ$4:$AT$27,$AZ$30,FALSE)*100,""),6))</f>
        <v>0.75720100000000001</v>
      </c>
      <c r="CU4" s="543">
        <v>1</v>
      </c>
      <c r="CV4" s="731" t="s">
        <v>375</v>
      </c>
      <c r="CW4" s="657">
        <v>0</v>
      </c>
      <c r="CX4" s="657">
        <v>0.5</v>
      </c>
      <c r="CY4" s="732">
        <v>0.5</v>
      </c>
      <c r="CZ4" s="646">
        <f>CW4*$DC4</f>
        <v>0</v>
      </c>
      <c r="DA4" s="646">
        <f t="shared" ref="CZ4:DB6" si="23">CX4*$DC4</f>
        <v>2448135.5093462113</v>
      </c>
      <c r="DB4" s="646">
        <f t="shared" si="23"/>
        <v>2448135.5093462113</v>
      </c>
      <c r="DC4" s="646">
        <v>4896271.0186924227</v>
      </c>
      <c r="DG4" s="545">
        <v>1</v>
      </c>
      <c r="DH4" s="739">
        <f t="shared" ref="DH4:DH27" si="24">FR4</f>
        <v>1</v>
      </c>
      <c r="DI4" s="655" t="s">
        <v>380</v>
      </c>
      <c r="DJ4" s="657">
        <f t="shared" ref="DJ4:DJ27" si="25">VLOOKUP(DH4,$CI$4:$CP$27,$DJ$33,FALSE)</f>
        <v>0.33216313361493449</v>
      </c>
      <c r="DK4" s="646">
        <f>DJ4*$DK$28</f>
        <v>125124.10345317564</v>
      </c>
      <c r="DL4" s="657">
        <f t="shared" ref="DL4:DL27" si="26">VLOOKUP(DH4,$J$4:$Q$27,$DL$33,FALSE)</f>
        <v>0.28085969563830204</v>
      </c>
      <c r="DM4" s="646">
        <f t="shared" ref="DM4:DM27" si="27">DL4*$DM$28</f>
        <v>687582.59403629648</v>
      </c>
      <c r="DN4" s="657">
        <f t="shared" ref="DN4:DN27" si="28">VLOOKUP(DH4,$J$4:$Q$27,$DN$33,FALSE)</f>
        <v>0.50031128159392002</v>
      </c>
      <c r="DO4" s="646">
        <f t="shared" ref="DO4:DO27" si="29">DN4*$DO$28</f>
        <v>1775536.7028282387</v>
      </c>
      <c r="DP4" s="646">
        <f>DK4+DM4+DO4</f>
        <v>2588243.4003177108</v>
      </c>
      <c r="DQ4" s="657">
        <f t="shared" ref="DQ4:DQ27" si="30">DP4/$DP$28</f>
        <v>0.40608213945592148</v>
      </c>
      <c r="DR4" s="709">
        <f t="shared" ref="DR4:DR27" si="31">IF($AT4=0,0,ROUND(IF(VLOOKUP(DH4,$AQ$4:$AT$27,$AZ$30,FALSE)&lt;&gt;0,DP4/VLOOKUP(DH4,$AQ$4:$AT$27,$AZ$30,FALSE)*100,""),6))</f>
        <v>0.23531299999999999</v>
      </c>
      <c r="DV4" s="545">
        <v>1</v>
      </c>
      <c r="DW4" s="739">
        <f t="shared" ref="DW4:DW27" si="32">GG4</f>
        <v>1</v>
      </c>
      <c r="DX4" s="655" t="s">
        <v>380</v>
      </c>
      <c r="DY4" s="657">
        <f t="shared" ref="DY4:DY27" si="33">VLOOKUP(DW4,$J$4:$Q$27,$DY$33,FALSE)</f>
        <v>0.28085969563830204</v>
      </c>
      <c r="DZ4" s="646">
        <f t="shared" ref="DZ4:DZ27" si="34">DY4*$DZ$28</f>
        <v>1134530.6814428838</v>
      </c>
      <c r="EA4" s="709">
        <f t="shared" ref="EA4:EA27" si="35">IF($AT4=0,0,ROUND(IF(VLOOKUP(DW4,$AQ$4:$AT$27,$AZ$30,FALSE)&lt;&gt;0,DZ4/VLOOKUP(DW4,$AQ$4:$AT$27,$AZ$30,FALSE)*100,""),6))</f>
        <v>0.103147</v>
      </c>
      <c r="EE4" s="543">
        <v>1</v>
      </c>
      <c r="EF4" s="655" t="s">
        <v>378</v>
      </c>
      <c r="EG4" s="646">
        <v>7182993.5611227266</v>
      </c>
      <c r="EH4" s="647">
        <f>EG4/$EG$7</f>
        <v>0.59682952418247304</v>
      </c>
      <c r="EI4" s="646">
        <f>EH4*$EI$7</f>
        <v>7875562.501986728</v>
      </c>
      <c r="EM4" s="545">
        <v>1</v>
      </c>
      <c r="EN4" s="739">
        <f t="shared" ref="EN4:EN27" si="36">FR4</f>
        <v>1</v>
      </c>
      <c r="EO4" s="655" t="s">
        <v>380</v>
      </c>
      <c r="EP4" s="657">
        <f t="shared" ref="EP4:EP27" si="37">VLOOKUP(EN4,$V$4:$Y$27,$EP$33,FALSE)</f>
        <v>0.34129907770369505</v>
      </c>
      <c r="EQ4" s="646">
        <f t="shared" ref="EQ4:EQ27" si="38">EP4*$EQ$28</f>
        <v>2687922.2183258752</v>
      </c>
      <c r="ER4" s="657">
        <f t="shared" ref="ER4:ER27" si="39">VLOOKUP(EN4,$CI$4:$CP$27,$ER$33,FALSE)</f>
        <v>0.33216313361493449</v>
      </c>
      <c r="ES4" s="646">
        <f t="shared" ref="ES4:ES27" si="40">ER4*$ES$28</f>
        <v>337678.10446319357</v>
      </c>
      <c r="ET4" s="657">
        <f t="shared" ref="ET4:ET27" si="41">VLOOKUP(EN4,$J$4:$M$27,$ET$33,FALSE)</f>
        <v>0.50031128159392002</v>
      </c>
      <c r="EU4" s="646">
        <f t="shared" ref="EU4:EU27" si="42">ET4*$EU$28</f>
        <v>2153089.2817621287</v>
      </c>
      <c r="EV4" s="646">
        <f t="shared" ref="EV4:EV27" si="43">EQ4+ES4+EU4</f>
        <v>5178689.604551198</v>
      </c>
      <c r="EW4" s="657">
        <f t="shared" ref="EW4:EW27" si="44">EV4/$EV$28</f>
        <v>0.39245385352389905</v>
      </c>
      <c r="EX4" s="709">
        <f t="shared" ref="EX4:EX27" si="45">IF($AT4=0,0,ROUND(IF(VLOOKUP(EN4,$AQ$4:$AT$27,$AZ$30,FALSE)&lt;&gt;0,EV4/VLOOKUP(EN4,$AQ$4:$AT$27,$AZ$30,FALSE)*100,""),6))</f>
        <v>0.470827</v>
      </c>
      <c r="FB4" s="543">
        <v>1</v>
      </c>
      <c r="FC4" s="645" t="s">
        <v>232</v>
      </c>
      <c r="FD4" s="646">
        <f>C11</f>
        <v>20079953.402397215</v>
      </c>
      <c r="FH4" s="545">
        <v>1</v>
      </c>
      <c r="FI4" s="669">
        <f t="shared" ref="FI4:FI27" si="46">FR4</f>
        <v>1</v>
      </c>
      <c r="FJ4" s="655" t="s">
        <v>380</v>
      </c>
      <c r="FK4" s="657">
        <f t="shared" ref="FK4:FK28" si="47">Y4</f>
        <v>0.34129907770369505</v>
      </c>
      <c r="FL4" s="646">
        <f t="shared" ref="FL4:FL27" si="48">Y4*$FL$28</f>
        <v>6738662.5434037177</v>
      </c>
      <c r="FM4" s="709">
        <f t="shared" ref="FM4:FM27" si="49">IF($AT4=0,0,ROUND(IF(VLOOKUP(FI4,$AQ$4:$AT$27,$AZ$30,FALSE)&lt;&gt;0,FL4/VLOOKUP(FI4,$AQ$4:$AT$27,$AZ$30,FALSE)*100,""),6))</f>
        <v>0.612653</v>
      </c>
      <c r="FQ4" s="543">
        <v>1</v>
      </c>
      <c r="FR4" s="669">
        <v>1</v>
      </c>
      <c r="FS4" s="655" t="s">
        <v>380</v>
      </c>
      <c r="FT4" s="646">
        <f t="shared" ref="FT4:FT27" si="50">VLOOKUP(FR4,$AQ$4:$AZ$27,$FT$33,FALSE)</f>
        <v>13192428.239581794</v>
      </c>
      <c r="FU4" s="646">
        <f t="shared" ref="FU4:FU27" si="51">VLOOKUP(FR4,$BL$4:$BS$86,$FU$33,FALSE)</f>
        <v>7796974.6391221769</v>
      </c>
      <c r="FV4" s="646">
        <f t="shared" ref="FV4:FV27" si="52">VLOOKUP(FR4,$CI$4:$CQ$27,$FV$33,FALSE)</f>
        <v>8328564.3200436868</v>
      </c>
      <c r="FW4" s="646">
        <f>VLOOKUP(FR4,$DH$4:$DP$27,$FW$33,FALSE)</f>
        <v>2588243.4003177108</v>
      </c>
      <c r="FX4" s="646">
        <f t="shared" ref="FX4:FX27" si="53">VLOOKUP(FR4,$DW$4:$EA$27,$FX$33,FALSE)</f>
        <v>1134530.6814428838</v>
      </c>
      <c r="FY4" s="646">
        <f t="shared" ref="FY4:FY27" si="54">VLOOKUP(FR4,$EN$4:$EV$28,$FY$34,FALSE)</f>
        <v>5178689.604551198</v>
      </c>
      <c r="FZ4" s="646">
        <f t="shared" ref="FZ4:FZ27" si="55">VLOOKUP(FR4,$FI$4:$FL$27,$FZ$33,FALSE)</f>
        <v>6738662.5434037177</v>
      </c>
      <c r="GA4" s="646">
        <f t="shared" ref="GA4:GA24" si="56">SUM(FT4:FZ4)</f>
        <v>44958093.428463161</v>
      </c>
      <c r="GB4" s="746">
        <f t="shared" ref="GB4:GB27" si="57">IF($AT4=0,0,ROUND(IF(VLOOKUP(FR4,$AQ$4:$AT$27,$AZ$30,FALSE)&lt;&gt;0,GA4/VLOOKUP(FR4,$AQ$4:$AT$27,$AZ$30,FALSE)*100,""),6))</f>
        <v>4.0874170000000003</v>
      </c>
      <c r="GF4" s="545">
        <v>1</v>
      </c>
      <c r="GG4" s="669">
        <f t="shared" ref="GG4:GG27" si="58">FR4</f>
        <v>1</v>
      </c>
      <c r="GH4" s="655" t="s">
        <v>380</v>
      </c>
      <c r="GI4" s="709">
        <f t="shared" ref="GI4:GI27" si="59">VLOOKUP(GG4,$AQ$4:$AZ$27,$GI$31,FALSE)</f>
        <v>1.1994050000000001</v>
      </c>
      <c r="GJ4" s="709">
        <f t="shared" ref="GJ4:GJ27" si="60">VLOOKUP(GG4,$BL$4:$BS$27,$GJ$31,FALSE)</f>
        <v>0.70887100000000003</v>
      </c>
      <c r="GK4" s="709">
        <f t="shared" ref="GK4:GK27" si="61">VLOOKUP(GG4,$CI$4:$CQ$27,$GK$31,FALSE)</f>
        <v>0.75720100000000001</v>
      </c>
      <c r="GL4" s="709">
        <f t="shared" ref="GL4:GL27" si="62">VLOOKUP(GG4,$DH$4:$DR$27,$GL$31,FALSE)</f>
        <v>0.23531299999999999</v>
      </c>
      <c r="GM4" s="709">
        <f t="shared" ref="GM4:GM27" si="63">VLOOKUP(GG4,$DW$4:$EA$27,$GM$31,FALSE)</f>
        <v>0.103147</v>
      </c>
      <c r="GN4" s="709">
        <f t="shared" ref="GN4:GN27" si="64">VLOOKUP(GG4,$EN$4:$EX$28,$GN$31,FALSE)</f>
        <v>0.470827</v>
      </c>
      <c r="GO4" s="709">
        <f t="shared" ref="GO4:GO27" si="65">VLOOKUP(GG4,$FI$4:$FM$27,$GO$31,FALSE)</f>
        <v>0.612653</v>
      </c>
      <c r="GP4" s="709">
        <f t="shared" ref="GP4:GP27" si="66">VLOOKUP(GG4,$FR$4:$GB$27,$GP$31,FALSE)</f>
        <v>4.0874170000000003</v>
      </c>
      <c r="GQ4" s="656">
        <f>L4</f>
        <v>1099914562.8562493</v>
      </c>
      <c r="GR4" s="530"/>
      <c r="GU4" s="543">
        <v>1</v>
      </c>
      <c r="GV4" s="669">
        <f t="shared" ref="GV4:GV27" si="67">FR4</f>
        <v>1</v>
      </c>
      <c r="GW4" s="655" t="s">
        <v>380</v>
      </c>
      <c r="GX4" s="658" t="s">
        <v>379</v>
      </c>
      <c r="GY4" s="646">
        <f t="shared" ref="GY4:GY27" si="68">GA4</f>
        <v>44958093.428463161</v>
      </c>
      <c r="GZ4" s="656">
        <f t="shared" ref="GZ4:GZ27" si="69">VLOOKUP(GV4,$GG$4:$GQ$27,$GZ$34,FALSE)</f>
        <v>1099914562.8562493</v>
      </c>
      <c r="HA4" s="709">
        <f>IF(GW4="Specialty Containers",$HA$31,ROUND(IF(GZ4&lt;&gt;0,GY4/GZ4*100,0),6))</f>
        <v>4.0874170000000003</v>
      </c>
      <c r="HB4" s="646">
        <f t="shared" ref="HB4:HB27" si="70">ROUND(HA4,10)*GZ4/100</f>
        <v>44958094.827662021</v>
      </c>
      <c r="HC4" s="749">
        <f t="shared" ref="HC4:HC27" si="71">HB4-GY4</f>
        <v>1.3991988599300385</v>
      </c>
      <c r="HD4" s="549"/>
      <c r="HG4" s="543">
        <v>1</v>
      </c>
      <c r="HH4" s="655" t="s">
        <v>379</v>
      </c>
      <c r="HI4" s="752">
        <f>SUMIF($GX$4:$GX$27,$HH4,GY$4:GY$27)</f>
        <v>127555508.48222312</v>
      </c>
      <c r="HJ4" s="753">
        <f>HI4/HI$6</f>
        <v>0.98309749746161312</v>
      </c>
      <c r="HK4" s="752">
        <f>SUMIF($GX$4:$GX$27,$HH4,HB$4:HB$27)</f>
        <v>127555513.62821069</v>
      </c>
      <c r="HL4" s="749">
        <f>SUMIF($GX$4:$GX$27,$HH4,HC$4:HC$27)</f>
        <v>5.1459875679680636</v>
      </c>
      <c r="HM4" s="549"/>
      <c r="HP4" s="545">
        <v>1</v>
      </c>
      <c r="HQ4" s="761">
        <f t="shared" ref="HQ4:HQ27" si="72">FR4</f>
        <v>1</v>
      </c>
      <c r="HR4" s="655" t="s">
        <v>380</v>
      </c>
      <c r="HS4" s="656">
        <f>L4</f>
        <v>1099914562.8562493</v>
      </c>
      <c r="HT4" s="756">
        <f>HA4</f>
        <v>4.0874170000000003</v>
      </c>
      <c r="HU4" s="756">
        <v>3.5634269999999999</v>
      </c>
      <c r="HV4" s="647">
        <f>IF(HU4&lt;&gt;0,HT4/HU4-1,"")</f>
        <v>0.14704664919472199</v>
      </c>
      <c r="HW4" s="756">
        <f>HT4-HU4</f>
        <v>0.5239900000000004</v>
      </c>
      <c r="HX4" s="648">
        <v>10</v>
      </c>
      <c r="IB4" s="764">
        <f>'DCA 8 month Phase I'!HE26</f>
        <v>2194071252</v>
      </c>
      <c r="IC4" s="764">
        <f>'DCA 8 month Phase I'!JI26</f>
        <v>2198460445.1694136</v>
      </c>
      <c r="ID4" s="765">
        <f>(IC4-IB4)/IB4</f>
        <v>2.0004788656761302E-3</v>
      </c>
      <c r="IE4" s="764">
        <v>1500000</v>
      </c>
      <c r="IF4" s="766">
        <f>HT28</f>
        <v>5.9017932145238188</v>
      </c>
      <c r="IG4" s="767">
        <f>IF4*IC4/100</f>
        <v>129748589.3769986</v>
      </c>
      <c r="IH4" s="768">
        <v>1.4999999999999999E-2</v>
      </c>
      <c r="II4" s="990">
        <v>316639920</v>
      </c>
      <c r="IJ4" s="765">
        <f>II4/IC4</f>
        <v>0.14402802683839039</v>
      </c>
      <c r="IK4" s="765">
        <f>SUM(HS8,HS15,HS17,HS23:HS24,HS27)/HS28</f>
        <v>1.328235712094091E-2</v>
      </c>
      <c r="IO4" s="545">
        <v>1</v>
      </c>
      <c r="IP4" s="761">
        <v>1</v>
      </c>
      <c r="IQ4" s="655" t="s">
        <v>380</v>
      </c>
      <c r="IR4" s="769">
        <f>GY4</f>
        <v>44958093.428463161</v>
      </c>
      <c r="IS4" s="770">
        <f>GZ4</f>
        <v>1099914562.8562493</v>
      </c>
      <c r="IT4" s="771">
        <f>HA4</f>
        <v>4.0874170000000003</v>
      </c>
      <c r="IU4" s="656">
        <f>IS4*$IJ$4/(1-$IK$4)</f>
        <v>160551020.16495869</v>
      </c>
      <c r="IV4" s="656">
        <f>IS4-IU4</f>
        <v>939363542.69129062</v>
      </c>
      <c r="IW4" s="769">
        <f>IU4*$IH$4</f>
        <v>2408265.30247438</v>
      </c>
      <c r="IX4" s="769">
        <f>IR4-IW4</f>
        <v>42549828.125988781</v>
      </c>
      <c r="IY4" s="550">
        <f>IX4/IS4*100</f>
        <v>3.8684666575825419</v>
      </c>
      <c r="IZ4" s="550">
        <f>IY4+1.5</f>
        <v>5.3684666575825419</v>
      </c>
      <c r="JA4" s="769">
        <f>(IY4*IV4+IZ4*IU4)/100</f>
        <v>44958093.428463154</v>
      </c>
      <c r="JB4" s="746">
        <f>IT4-IY4</f>
        <v>0.21895034241745837</v>
      </c>
      <c r="JF4" s="545">
        <v>1</v>
      </c>
      <c r="JG4" s="761">
        <f t="shared" ref="JG4:JG27" si="73">FR4</f>
        <v>1</v>
      </c>
      <c r="JH4" s="655" t="s">
        <v>380</v>
      </c>
      <c r="JI4" s="656">
        <f>L4</f>
        <v>1099914562.8562493</v>
      </c>
      <c r="JJ4" s="756">
        <f>IY4</f>
        <v>3.8684666575825419</v>
      </c>
      <c r="JK4" s="756">
        <v>3.3411942282427152</v>
      </c>
      <c r="JL4" s="647">
        <f>IF(JK4&lt;&gt;0,JJ4/JK4-1,"")</f>
        <v>0.15780957146485419</v>
      </c>
      <c r="JM4" s="756">
        <f>JJ4-JK4</f>
        <v>0.52727242933982676</v>
      </c>
      <c r="JN4" s="648">
        <v>10</v>
      </c>
      <c r="JS4" s="756">
        <v>3.8846481496862171</v>
      </c>
      <c r="JT4" s="756">
        <f>JJ4-JS4</f>
        <v>-1.6181492103675144E-2</v>
      </c>
      <c r="JU4" s="1009">
        <v>1105379295</v>
      </c>
      <c r="JV4" s="1009">
        <f t="shared" ref="JV4" si="74">JU4-JI4</f>
        <v>5464732.1437506676</v>
      </c>
      <c r="JW4" s="1069">
        <f>JT4/JS4</f>
        <v>-4.1654974865567183E-3</v>
      </c>
      <c r="JX4" s="997">
        <v>42940096.330232054</v>
      </c>
      <c r="JY4" s="997">
        <f>JI4*JJ4/100</f>
        <v>42549828.125988774</v>
      </c>
      <c r="JZ4" s="516"/>
      <c r="KA4" s="516" t="s">
        <v>442</v>
      </c>
      <c r="KB4" s="997">
        <f>SUMPRODUCT(JV4:JV27,JS4:JS27)/100</f>
        <v>-1065815.6498672108</v>
      </c>
      <c r="KC4" s="516"/>
      <c r="KE4" s="516"/>
      <c r="KF4" s="516"/>
    </row>
    <row r="5" spans="1:292" ht="16.5" x14ac:dyDescent="0.3">
      <c r="A5" s="222">
        <v>2</v>
      </c>
      <c r="B5" s="649" t="s">
        <v>57</v>
      </c>
      <c r="C5" s="650">
        <f>'DCA 8 month Phase I'!MC15</f>
        <v>1997891.2124798703</v>
      </c>
      <c r="D5" s="651">
        <f t="shared" si="0"/>
        <v>1.5397022532034871E-2</v>
      </c>
      <c r="E5" s="986">
        <v>9.0876832324627621E-2</v>
      </c>
      <c r="I5" s="222">
        <f>+I4+1</f>
        <v>2</v>
      </c>
      <c r="J5" s="659">
        <f t="shared" si="1"/>
        <v>2</v>
      </c>
      <c r="K5" s="660" t="s">
        <v>385</v>
      </c>
      <c r="L5" s="991">
        <v>941330.62015229836</v>
      </c>
      <c r="M5" s="662">
        <f t="shared" si="2"/>
        <v>4.2817719200754568E-4</v>
      </c>
      <c r="N5" s="661">
        <v>114</v>
      </c>
      <c r="O5" s="661">
        <f t="shared" ref="O5:O27" si="75">IFERROR(L5/N5,0)</f>
        <v>8257.2861416868272</v>
      </c>
      <c r="P5" s="662">
        <f t="shared" si="3"/>
        <v>4.6238787259082663E-3</v>
      </c>
      <c r="Q5" s="663" t="s">
        <v>379</v>
      </c>
      <c r="U5" s="551">
        <f>+U4+1</f>
        <v>2</v>
      </c>
      <c r="V5" s="670">
        <f t="shared" si="4"/>
        <v>2</v>
      </c>
      <c r="W5" s="660" t="s">
        <v>385</v>
      </c>
      <c r="X5" s="671">
        <f t="shared" ref="X5:X27" si="76">SUM(FT5:FX5)</f>
        <v>330856.3449523634</v>
      </c>
      <c r="Y5" s="662">
        <f t="shared" si="5"/>
        <v>3.4176280860645451E-3</v>
      </c>
      <c r="AC5" s="551">
        <f>+AC4+1</f>
        <v>2</v>
      </c>
      <c r="AD5" s="681">
        <v>2</v>
      </c>
      <c r="AE5" s="682" t="s">
        <v>385</v>
      </c>
      <c r="AF5" s="683">
        <v>28.35</v>
      </c>
      <c r="AJ5" s="551">
        <f t="shared" ref="AJ5:AJ7" si="77">+AJ4+1</f>
        <v>2</v>
      </c>
      <c r="AK5" s="688" t="s">
        <v>381</v>
      </c>
      <c r="AL5" s="690">
        <f>'DCA 8 month Phase I'!AH19+'DCA 8 month Phase I'!AI19</f>
        <v>1951993.3071390803</v>
      </c>
      <c r="AM5" s="546"/>
      <c r="AN5" s="547"/>
      <c r="AO5" s="546"/>
      <c r="AP5" s="551">
        <f t="shared" ref="AP5:AP27" si="78">+AP4+1</f>
        <v>2</v>
      </c>
      <c r="AQ5" s="697">
        <f t="shared" si="6"/>
        <v>2</v>
      </c>
      <c r="AR5" s="660" t="s">
        <v>385</v>
      </c>
      <c r="AS5" s="660">
        <f t="shared" si="7"/>
        <v>28.35</v>
      </c>
      <c r="AT5" s="698">
        <f t="shared" ref="AT5:AT27" si="79">L5</f>
        <v>941330.62015229836</v>
      </c>
      <c r="AU5" s="698">
        <f>AT5*AS5/3600</f>
        <v>7412.9786336993502</v>
      </c>
      <c r="AV5" s="699">
        <f t="shared" si="8"/>
        <v>7641.1055768467804</v>
      </c>
      <c r="AW5" s="700">
        <f t="shared" si="9"/>
        <v>21.592508896755891</v>
      </c>
      <c r="AX5" s="671">
        <f>AV5*AW5</f>
        <v>164990.64014911518</v>
      </c>
      <c r="AY5" s="465">
        <f t="shared" ref="AY5:AY28" si="80">AX5/$AX$28</f>
        <v>3.9145142295830375E-3</v>
      </c>
      <c r="AZ5" s="553">
        <f t="shared" si="10"/>
        <v>17.527384999999999</v>
      </c>
      <c r="BD5" s="222">
        <v>2</v>
      </c>
      <c r="BE5" s="665" t="s">
        <v>317</v>
      </c>
      <c r="BF5" s="667">
        <v>0.5</v>
      </c>
      <c r="BG5" s="707">
        <f>BF5*$BG$6</f>
        <v>9586712.8881295025</v>
      </c>
      <c r="BK5" s="222">
        <f>+BK4+1</f>
        <v>2</v>
      </c>
      <c r="BL5" s="663">
        <f t="shared" si="11"/>
        <v>2</v>
      </c>
      <c r="BM5" s="660" t="s">
        <v>385</v>
      </c>
      <c r="BN5" s="662">
        <f t="shared" ref="BN5:BN27" si="81">VLOOKUP(BL5,$AQ$4:$AY$28,$BN$33,FALSE)</f>
        <v>3.9145142295830375E-3</v>
      </c>
      <c r="BO5" s="671">
        <f t="shared" ref="BO5:BO27" si="82">BN5*$BO$28</f>
        <v>37527.324015510036</v>
      </c>
      <c r="BP5" s="662">
        <f t="shared" ref="BP5:BP27" si="83">VLOOKUP(BL5,$J$4:$M$27,$BP$33,FALSE)</f>
        <v>4.2817719200754568E-4</v>
      </c>
      <c r="BQ5" s="671">
        <f t="shared" ref="BQ5:BQ27" si="84">BP5*$BQ$28</f>
        <v>4104.8118050218391</v>
      </c>
      <c r="BR5" s="710">
        <f t="shared" si="12"/>
        <v>41632.135820531876</v>
      </c>
      <c r="BS5" s="711">
        <f t="shared" si="13"/>
        <v>4.4226900000000002</v>
      </c>
      <c r="BW5" s="222">
        <f>+BW4+1</f>
        <v>2</v>
      </c>
      <c r="BX5" s="660" t="s">
        <v>382</v>
      </c>
      <c r="BY5" s="716">
        <v>0.15813243766864218</v>
      </c>
      <c r="BZ5" s="717">
        <f>BY5*$BZ$9</f>
        <v>3964967.9477535193</v>
      </c>
      <c r="CA5" s="718">
        <v>1</v>
      </c>
      <c r="CB5" s="718"/>
      <c r="CC5" s="717">
        <f>CA5*$BZ5</f>
        <v>3964967.9477535193</v>
      </c>
      <c r="CD5" s="717">
        <f t="shared" si="14"/>
        <v>0</v>
      </c>
      <c r="CH5" s="222">
        <f>+CH4+1</f>
        <v>2</v>
      </c>
      <c r="CI5" s="681">
        <f t="shared" si="15"/>
        <v>2</v>
      </c>
      <c r="CJ5" s="660" t="s">
        <v>385</v>
      </c>
      <c r="CK5" s="723">
        <f t="shared" si="16"/>
        <v>4.2817719200754568E-4</v>
      </c>
      <c r="CL5" s="650">
        <f t="shared" si="17"/>
        <v>2509.8628497677214</v>
      </c>
      <c r="CM5" s="723">
        <f t="shared" si="18"/>
        <v>4.6238787259082663E-3</v>
      </c>
      <c r="CN5" s="650">
        <f t="shared" si="19"/>
        <v>88833.856134934642</v>
      </c>
      <c r="CO5" s="650">
        <f t="shared" si="20"/>
        <v>91343.718984702369</v>
      </c>
      <c r="CP5" s="723">
        <f t="shared" si="21"/>
        <v>3.6430067377856991E-3</v>
      </c>
      <c r="CQ5" s="724">
        <f t="shared" si="22"/>
        <v>9.7036809999999996</v>
      </c>
      <c r="CU5" s="222">
        <f>+CU4+1</f>
        <v>2</v>
      </c>
      <c r="CV5" s="733" t="s">
        <v>49</v>
      </c>
      <c r="CW5" s="723">
        <v>1</v>
      </c>
      <c r="CX5" s="723">
        <v>0</v>
      </c>
      <c r="CY5" s="734">
        <v>0</v>
      </c>
      <c r="CZ5" s="650">
        <f t="shared" si="23"/>
        <v>376694.73457649816</v>
      </c>
      <c r="DA5" s="650">
        <f t="shared" si="23"/>
        <v>0</v>
      </c>
      <c r="DB5" s="650">
        <f t="shared" si="23"/>
        <v>0</v>
      </c>
      <c r="DC5" s="650">
        <v>376694.73457649816</v>
      </c>
      <c r="DG5" s="551">
        <f>+DG4+1</f>
        <v>2</v>
      </c>
      <c r="DH5" s="677">
        <f t="shared" si="24"/>
        <v>2</v>
      </c>
      <c r="DI5" s="660" t="s">
        <v>385</v>
      </c>
      <c r="DJ5" s="723">
        <f>VLOOKUP(DH5,$CI$4:$CP$27,$DJ$33,FALSE)</f>
        <v>3.6430067377856991E-3</v>
      </c>
      <c r="DK5" s="650">
        <f t="shared" ref="DK5:DK27" si="85">DJ5*$DK$28</f>
        <v>1372.3014561505784</v>
      </c>
      <c r="DL5" s="723">
        <f t="shared" si="26"/>
        <v>4.6238787259082663E-3</v>
      </c>
      <c r="DM5" s="650">
        <f t="shared" si="27"/>
        <v>11319.881699806545</v>
      </c>
      <c r="DN5" s="723">
        <f t="shared" si="28"/>
        <v>4.2817719200754568E-4</v>
      </c>
      <c r="DO5" s="650">
        <f t="shared" si="29"/>
        <v>1519.5426281440266</v>
      </c>
      <c r="DP5" s="650">
        <f t="shared" ref="DP5:DP27" si="86">DK5+DM5+DO5</f>
        <v>14211.725784101151</v>
      </c>
      <c r="DQ5" s="723">
        <f t="shared" si="30"/>
        <v>2.229747021111022E-3</v>
      </c>
      <c r="DR5" s="724">
        <f t="shared" si="31"/>
        <v>1.509749</v>
      </c>
      <c r="DV5" s="551">
        <f>+DV4+1</f>
        <v>2</v>
      </c>
      <c r="DW5" s="677">
        <f t="shared" si="32"/>
        <v>2</v>
      </c>
      <c r="DX5" s="660" t="s">
        <v>385</v>
      </c>
      <c r="DY5" s="723">
        <f t="shared" si="33"/>
        <v>4.6238787259082663E-3</v>
      </c>
      <c r="DZ5" s="650">
        <f t="shared" si="34"/>
        <v>18678.124213912834</v>
      </c>
      <c r="EA5" s="724">
        <f t="shared" si="35"/>
        <v>1.984226</v>
      </c>
      <c r="EE5" s="222">
        <v>2</v>
      </c>
      <c r="EF5" s="660" t="s">
        <v>49</v>
      </c>
      <c r="EG5" s="650">
        <v>927204.15030545439</v>
      </c>
      <c r="EH5" s="651">
        <f>EG5/$EG$7</f>
        <v>7.7040694403786011E-2</v>
      </c>
      <c r="EI5" s="650">
        <f>EH5*$EI$7</f>
        <v>1016603.1997237008</v>
      </c>
      <c r="EM5" s="551">
        <f>+EM4+1</f>
        <v>2</v>
      </c>
      <c r="EN5" s="677">
        <f t="shared" si="36"/>
        <v>2</v>
      </c>
      <c r="EO5" s="660" t="s">
        <v>385</v>
      </c>
      <c r="EP5" s="723">
        <f t="shared" si="37"/>
        <v>3.4176280860645451E-3</v>
      </c>
      <c r="EQ5" s="650">
        <f t="shared" si="38"/>
        <v>26915.743600346603</v>
      </c>
      <c r="ER5" s="723">
        <f t="shared" si="39"/>
        <v>3.6430067377856991E-3</v>
      </c>
      <c r="ES5" s="650">
        <f t="shared" si="40"/>
        <v>3703.4923062479425</v>
      </c>
      <c r="ET5" s="723">
        <f t="shared" si="41"/>
        <v>4.2817719200754568E-4</v>
      </c>
      <c r="EU5" s="650">
        <f t="shared" si="42"/>
        <v>1842.6602731591393</v>
      </c>
      <c r="EV5" s="650">
        <f t="shared" si="43"/>
        <v>32461.896179753683</v>
      </c>
      <c r="EW5" s="723">
        <f t="shared" si="44"/>
        <v>2.4600424472710106E-3</v>
      </c>
      <c r="EX5" s="724">
        <f t="shared" si="45"/>
        <v>3.448512</v>
      </c>
      <c r="FB5" s="297">
        <v>2</v>
      </c>
      <c r="FC5" s="745" t="s">
        <v>383</v>
      </c>
      <c r="FD5" s="727">
        <f>C12</f>
        <v>-335796.49244503211</v>
      </c>
      <c r="FH5" s="551">
        <f>+FH4+1</f>
        <v>2</v>
      </c>
      <c r="FI5" s="670">
        <f t="shared" si="46"/>
        <v>2</v>
      </c>
      <c r="FJ5" s="660" t="s">
        <v>385</v>
      </c>
      <c r="FK5" s="723">
        <f t="shared" si="47"/>
        <v>3.4176280860645451E-3</v>
      </c>
      <c r="FL5" s="650">
        <f t="shared" si="48"/>
        <v>67478.18519111794</v>
      </c>
      <c r="FM5" s="724">
        <f t="shared" si="49"/>
        <v>7.1683830000000004</v>
      </c>
      <c r="FQ5" s="222">
        <f t="shared" ref="FQ5:FQ13" si="87">+FQ4+1</f>
        <v>2</v>
      </c>
      <c r="FR5" s="670">
        <v>2</v>
      </c>
      <c r="FS5" s="660" t="s">
        <v>385</v>
      </c>
      <c r="FT5" s="650">
        <f t="shared" si="50"/>
        <v>164990.64014911518</v>
      </c>
      <c r="FU5" s="650">
        <f t="shared" si="51"/>
        <v>41632.135820531876</v>
      </c>
      <c r="FV5" s="650">
        <f t="shared" si="52"/>
        <v>91343.718984702369</v>
      </c>
      <c r="FW5" s="650">
        <f t="shared" ref="FW5:FW27" si="88">VLOOKUP(FR5,$DH$4:$DP$27,$FW$33,FALSE)</f>
        <v>14211.725784101151</v>
      </c>
      <c r="FX5" s="650">
        <f t="shared" si="53"/>
        <v>18678.124213912834</v>
      </c>
      <c r="FY5" s="650">
        <f t="shared" si="54"/>
        <v>32461.896179753683</v>
      </c>
      <c r="FZ5" s="650">
        <f t="shared" si="55"/>
        <v>67478.18519111794</v>
      </c>
      <c r="GA5" s="650">
        <f t="shared" si="56"/>
        <v>430796.42632323503</v>
      </c>
      <c r="GB5" s="747">
        <f t="shared" si="57"/>
        <v>45.764625000000002</v>
      </c>
      <c r="GF5" s="551">
        <f t="shared" ref="GF5:GF27" si="89">+GF4+1</f>
        <v>2</v>
      </c>
      <c r="GG5" s="670">
        <f t="shared" si="58"/>
        <v>2</v>
      </c>
      <c r="GH5" s="660" t="s">
        <v>385</v>
      </c>
      <c r="GI5" s="724">
        <f t="shared" si="59"/>
        <v>17.527384999999999</v>
      </c>
      <c r="GJ5" s="724">
        <f t="shared" si="60"/>
        <v>4.4226900000000002</v>
      </c>
      <c r="GK5" s="724">
        <f t="shared" si="61"/>
        <v>9.7036809999999996</v>
      </c>
      <c r="GL5" s="724">
        <f t="shared" si="62"/>
        <v>1.509749</v>
      </c>
      <c r="GM5" s="724">
        <f t="shared" si="63"/>
        <v>1.984226</v>
      </c>
      <c r="GN5" s="724">
        <f t="shared" si="64"/>
        <v>3.448512</v>
      </c>
      <c r="GO5" s="724">
        <f t="shared" si="65"/>
        <v>7.1683830000000004</v>
      </c>
      <c r="GP5" s="724">
        <f t="shared" si="66"/>
        <v>45.764625000000002</v>
      </c>
      <c r="GQ5" s="661">
        <f t="shared" ref="GQ5:GQ27" si="90">L5</f>
        <v>941330.62015229836</v>
      </c>
      <c r="GR5" s="530"/>
      <c r="GU5" s="222">
        <f t="shared" ref="GU5:GU27" si="91">+GU4+1</f>
        <v>2</v>
      </c>
      <c r="GV5" s="670">
        <f t="shared" si="67"/>
        <v>2</v>
      </c>
      <c r="GW5" s="660" t="s">
        <v>385</v>
      </c>
      <c r="GX5" s="663" t="s">
        <v>379</v>
      </c>
      <c r="GY5" s="671">
        <f t="shared" si="68"/>
        <v>430796.42632323503</v>
      </c>
      <c r="GZ5" s="661">
        <f t="shared" si="69"/>
        <v>941330.62015229836</v>
      </c>
      <c r="HA5" s="724">
        <f t="shared" ref="HA5:HA27" si="92">IF(GW5="Specialty Containers",$HA$31,ROUND(IF(GZ5&lt;&gt;0,GY5/GZ5*100,0),6))</f>
        <v>45.764625000000002</v>
      </c>
      <c r="HB5" s="650">
        <f t="shared" si="70"/>
        <v>430796.42832287378</v>
      </c>
      <c r="HC5" s="750">
        <f t="shared" si="71"/>
        <v>1.9996387418359518E-3</v>
      </c>
      <c r="HD5" s="549"/>
      <c r="HG5" s="297">
        <v>2</v>
      </c>
      <c r="HH5" s="665" t="s">
        <v>384</v>
      </c>
      <c r="HI5" s="754">
        <f>SUMIF($GX$4:$GX$27,$HH5,GY$4:GY$27)</f>
        <v>2193075.7747556865</v>
      </c>
      <c r="HJ5" s="755">
        <f>HI5/HI$6</f>
        <v>1.6902502538386866E-2</v>
      </c>
      <c r="HK5" s="754">
        <f>SUMIF($GX$4:$GX$27,$HH5,HB$4:HB$27)</f>
        <v>2193075.7487879279</v>
      </c>
      <c r="HL5" s="751">
        <f>SUMIF($GX$4:$GX$27,$HH5,HC$4:HC$27)</f>
        <v>-2.5967758614569902E-2</v>
      </c>
      <c r="HM5" s="549"/>
      <c r="HP5" s="551">
        <f>+HP4+1</f>
        <v>2</v>
      </c>
      <c r="HQ5" s="762">
        <f t="shared" si="72"/>
        <v>2</v>
      </c>
      <c r="HR5" s="660" t="s">
        <v>385</v>
      </c>
      <c r="HS5" s="661">
        <f t="shared" ref="HS5:HS27" si="93">L5</f>
        <v>941330.62015229836</v>
      </c>
      <c r="HT5" s="757">
        <f t="shared" ref="HT5:HT27" si="94">HA5</f>
        <v>45.764625000000002</v>
      </c>
      <c r="HU5" s="757">
        <v>41.377299000000001</v>
      </c>
      <c r="HV5" s="651">
        <f t="shared" ref="HV5:HV27" si="95">IF(HU5&lt;&gt;0,HT5/HU5-1,"")</f>
        <v>0.10603219896011096</v>
      </c>
      <c r="HW5" s="757">
        <f t="shared" ref="HW5:HW28" si="96">HT5-HU5</f>
        <v>4.3873260000000016</v>
      </c>
      <c r="HX5" s="652">
        <v>25</v>
      </c>
      <c r="IO5" s="551">
        <v>2</v>
      </c>
      <c r="IP5" s="762">
        <v>2</v>
      </c>
      <c r="IQ5" s="660" t="s">
        <v>385</v>
      </c>
      <c r="IR5" s="772">
        <f t="shared" ref="IR5:IT27" si="97">GY5</f>
        <v>430796.42632323503</v>
      </c>
      <c r="IS5" s="773">
        <f t="shared" si="97"/>
        <v>941330.62015229836</v>
      </c>
      <c r="IT5" s="774">
        <f t="shared" si="97"/>
        <v>45.764625000000002</v>
      </c>
      <c r="IU5" s="661">
        <f t="shared" ref="IU5:IU26" si="98">IS5*$IJ$4/(1-$IK$4)</f>
        <v>137403.02790928364</v>
      </c>
      <c r="IV5" s="661">
        <f t="shared" ref="IV5:IV27" si="99">IS5-IU5</f>
        <v>803927.59224301472</v>
      </c>
      <c r="IW5" s="772">
        <f t="shared" ref="IW5:IW27" si="100">IU5*$IH$4</f>
        <v>2061.0454186392544</v>
      </c>
      <c r="IX5" s="772">
        <f t="shared" ref="IX5:IX27" si="101">IR5-IW5</f>
        <v>428735.38090459578</v>
      </c>
      <c r="IY5" s="455">
        <f t="shared" ref="IY5:IY25" si="102">IX5/IS5*100</f>
        <v>45.545674572365499</v>
      </c>
      <c r="IZ5" s="555">
        <f t="shared" ref="IZ5:IZ26" si="103">IY5+1.5</f>
        <v>47.045674572365499</v>
      </c>
      <c r="JA5" s="772">
        <f t="shared" ref="JA5:JA27" si="104">(IY5*IV5+IZ5*IU5)/100</f>
        <v>430796.42632323503</v>
      </c>
      <c r="JB5" s="778">
        <f t="shared" ref="JB5:JB27" si="105">IT5-IY5</f>
        <v>0.21895042763450334</v>
      </c>
      <c r="JF5" s="551">
        <f>+JF4+1</f>
        <v>2</v>
      </c>
      <c r="JG5" s="762">
        <f t="shared" si="73"/>
        <v>2</v>
      </c>
      <c r="JH5" s="660" t="s">
        <v>385</v>
      </c>
      <c r="JI5" s="661">
        <f t="shared" ref="JI5:JI27" si="106">L5</f>
        <v>941330.62015229836</v>
      </c>
      <c r="JJ5" s="757">
        <f t="shared" ref="JJ5:JJ27" si="107">IY5</f>
        <v>45.545674572365499</v>
      </c>
      <c r="JK5" s="757">
        <v>41.15506612786816</v>
      </c>
      <c r="JL5" s="651">
        <f t="shared" ref="JL5" si="108">IF(JK5&lt;&gt;0,JJ5/JK5-1,"")</f>
        <v>0.10668451924863365</v>
      </c>
      <c r="JM5" s="757">
        <f t="shared" ref="JM5:JM28" si="109">JJ5-JK5</f>
        <v>4.3906084444973388</v>
      </c>
      <c r="JN5" s="652">
        <v>25</v>
      </c>
      <c r="JS5" s="757">
        <v>45.730487229304238</v>
      </c>
      <c r="JT5" s="757">
        <f t="shared" ref="JT5:JT28" si="110">JJ5-JS5</f>
        <v>-0.18481265693873894</v>
      </c>
      <c r="JU5" s="1010">
        <v>940536</v>
      </c>
      <c r="JV5" s="1010">
        <f>JU5-JI5</f>
        <v>-794.62015229836106</v>
      </c>
      <c r="JW5" s="1069">
        <f t="shared" ref="JW5:JW28" si="111">JT5/JS5</f>
        <v>-4.0413445851132422E-3</v>
      </c>
      <c r="JX5" s="997">
        <v>430111.69536700891</v>
      </c>
      <c r="JY5" s="997">
        <f t="shared" ref="JY5:JY28" si="112">JI5*JJ5/100</f>
        <v>428735.38090459583</v>
      </c>
      <c r="JZ5" s="516"/>
      <c r="KA5" s="516" t="s">
        <v>443</v>
      </c>
      <c r="KB5" s="997">
        <f>SUMPRODUCT(JT4:JT27,JI4:JI27)/100</f>
        <v>-516868.59194325213</v>
      </c>
      <c r="KC5" s="516"/>
      <c r="KE5" s="516"/>
      <c r="KF5" s="516"/>
    </row>
    <row r="6" spans="1:292" ht="17.25" thickBot="1" x14ac:dyDescent="0.35">
      <c r="A6" s="543">
        <v>3</v>
      </c>
      <c r="B6" s="645" t="s">
        <v>48</v>
      </c>
      <c r="C6" s="646">
        <f>'DCA 8 month Phase I'!MC16</f>
        <v>19173425.776259005</v>
      </c>
      <c r="D6" s="647">
        <f t="shared" si="0"/>
        <v>0.14776263434630454</v>
      </c>
      <c r="E6" s="986">
        <v>0.87345682084506993</v>
      </c>
      <c r="I6" s="543">
        <f t="shared" ref="I6:I21" si="113">+I5+1</f>
        <v>3</v>
      </c>
      <c r="J6" s="654">
        <f t="shared" si="1"/>
        <v>3</v>
      </c>
      <c r="K6" s="655" t="s">
        <v>389</v>
      </c>
      <c r="L6" s="991">
        <v>3137059.658360593</v>
      </c>
      <c r="M6" s="657">
        <f t="shared" si="2"/>
        <v>1.4269347739476162E-3</v>
      </c>
      <c r="N6" s="656">
        <v>816</v>
      </c>
      <c r="O6" s="656">
        <f t="shared" si="75"/>
        <v>3844.43585583406</v>
      </c>
      <c r="P6" s="657">
        <f t="shared" si="3"/>
        <v>2.1527902584321324E-3</v>
      </c>
      <c r="Q6" s="658" t="s">
        <v>379</v>
      </c>
      <c r="U6" s="545">
        <f t="shared" ref="U6:U27" si="114">+U5+1</f>
        <v>3</v>
      </c>
      <c r="V6" s="669">
        <f t="shared" si="4"/>
        <v>3</v>
      </c>
      <c r="W6" s="655" t="s">
        <v>389</v>
      </c>
      <c r="X6" s="646">
        <f t="shared" si="76"/>
        <v>232922.15936864965</v>
      </c>
      <c r="Y6" s="657">
        <f t="shared" si="5"/>
        <v>2.4060028645958497E-3</v>
      </c>
      <c r="AC6" s="545">
        <f t="shared" ref="AC6:AC27" si="115">+AC5+1</f>
        <v>3</v>
      </c>
      <c r="AD6" s="678">
        <v>3</v>
      </c>
      <c r="AE6" s="679" t="s">
        <v>389</v>
      </c>
      <c r="AF6" s="680">
        <v>6.29</v>
      </c>
      <c r="AJ6" s="545">
        <f t="shared" si="77"/>
        <v>3</v>
      </c>
      <c r="AK6" s="556" t="s">
        <v>386</v>
      </c>
      <c r="AL6" s="691">
        <f>AL4/AL5</f>
        <v>21.592508896755891</v>
      </c>
      <c r="AM6" s="557"/>
      <c r="AN6" s="558"/>
      <c r="AO6" s="557"/>
      <c r="AP6" s="545">
        <f t="shared" si="78"/>
        <v>3</v>
      </c>
      <c r="AQ6" s="693">
        <f t="shared" si="6"/>
        <v>3</v>
      </c>
      <c r="AR6" s="655" t="s">
        <v>389</v>
      </c>
      <c r="AS6" s="655">
        <f t="shared" si="7"/>
        <v>6.29</v>
      </c>
      <c r="AT6" s="694">
        <f t="shared" si="79"/>
        <v>3137059.658360593</v>
      </c>
      <c r="AU6" s="694">
        <f t="shared" ref="AU6:AU27" si="116">AT6*AS6/3600</f>
        <v>5481.1403475244806</v>
      </c>
      <c r="AV6" s="695">
        <f t="shared" si="8"/>
        <v>5649.8169152348637</v>
      </c>
      <c r="AW6" s="696">
        <f t="shared" si="9"/>
        <v>21.592508896755891</v>
      </c>
      <c r="AX6" s="646">
        <f>AV6*AW6</f>
        <v>121993.72200725072</v>
      </c>
      <c r="AY6" s="544">
        <f t="shared" si="80"/>
        <v>2.8943833437192791E-3</v>
      </c>
      <c r="AZ6" s="548">
        <f t="shared" si="10"/>
        <v>3.888792</v>
      </c>
      <c r="BD6" s="559">
        <v>3</v>
      </c>
      <c r="BE6" s="560" t="s">
        <v>71</v>
      </c>
      <c r="BF6" s="784">
        <f>SUM(BF4:BF5)</f>
        <v>1</v>
      </c>
      <c r="BG6" s="785">
        <f>C6</f>
        <v>19173425.776259005</v>
      </c>
      <c r="BK6" s="543">
        <f t="shared" ref="BK6:BK27" si="117">+BK5+1</f>
        <v>3</v>
      </c>
      <c r="BL6" s="658">
        <f t="shared" si="11"/>
        <v>3</v>
      </c>
      <c r="BM6" s="655" t="s">
        <v>389</v>
      </c>
      <c r="BN6" s="657">
        <f t="shared" si="81"/>
        <v>2.8943833437192791E-3</v>
      </c>
      <c r="BO6" s="646">
        <f t="shared" si="82"/>
        <v>27747.622104420978</v>
      </c>
      <c r="BP6" s="657">
        <f t="shared" si="83"/>
        <v>1.4269347739476162E-3</v>
      </c>
      <c r="BQ6" s="646">
        <f t="shared" si="84"/>
        <v>13679.613987923771</v>
      </c>
      <c r="BR6" s="708">
        <f t="shared" si="12"/>
        <v>41427.236092344749</v>
      </c>
      <c r="BS6" s="709">
        <f t="shared" si="13"/>
        <v>1.3205750000000001</v>
      </c>
      <c r="BW6" s="543">
        <f>+BW5+1</f>
        <v>3</v>
      </c>
      <c r="BX6" s="655" t="s">
        <v>387</v>
      </c>
      <c r="BY6" s="647">
        <v>0.11819476827566944</v>
      </c>
      <c r="BZ6" s="715">
        <f>BY6*$BZ$9</f>
        <v>2963582.1385817751</v>
      </c>
      <c r="CA6" s="648"/>
      <c r="CB6" s="648">
        <v>1</v>
      </c>
      <c r="CC6" s="715">
        <f t="shared" si="14"/>
        <v>0</v>
      </c>
      <c r="CD6" s="715">
        <f t="shared" si="14"/>
        <v>2963582.1385817751</v>
      </c>
      <c r="CH6" s="543">
        <f t="shared" ref="CH6:CH27" si="118">+CH5+1</f>
        <v>3</v>
      </c>
      <c r="CI6" s="678">
        <f t="shared" si="15"/>
        <v>3</v>
      </c>
      <c r="CJ6" s="655" t="s">
        <v>389</v>
      </c>
      <c r="CK6" s="657">
        <f t="shared" si="16"/>
        <v>1.4269347739476162E-3</v>
      </c>
      <c r="CL6" s="646">
        <f t="shared" si="17"/>
        <v>8364.3188965322297</v>
      </c>
      <c r="CM6" s="657">
        <f t="shared" si="18"/>
        <v>2.1527902584321324E-3</v>
      </c>
      <c r="CN6" s="646">
        <f t="shared" si="19"/>
        <v>41359.358980307923</v>
      </c>
      <c r="CO6" s="646">
        <f t="shared" si="20"/>
        <v>49723.677876840156</v>
      </c>
      <c r="CP6" s="657">
        <f t="shared" si="21"/>
        <v>1.9830996104193122E-3</v>
      </c>
      <c r="CQ6" s="709">
        <f t="shared" si="22"/>
        <v>1.5850409999999999</v>
      </c>
      <c r="CU6" s="561">
        <v>3</v>
      </c>
      <c r="CV6" s="735" t="s">
        <v>377</v>
      </c>
      <c r="CW6" s="736">
        <v>0</v>
      </c>
      <c r="CX6" s="736">
        <v>0</v>
      </c>
      <c r="CY6" s="737">
        <v>1</v>
      </c>
      <c r="CZ6" s="738">
        <f t="shared" si="23"/>
        <v>0</v>
      </c>
      <c r="DA6" s="738">
        <f t="shared" si="23"/>
        <v>0</v>
      </c>
      <c r="DB6" s="738">
        <f t="shared" si="23"/>
        <v>1100728.5042167718</v>
      </c>
      <c r="DC6" s="738">
        <v>1100728.5042167718</v>
      </c>
      <c r="DG6" s="545">
        <f t="shared" ref="DG6:DG27" si="119">+DG5+1</f>
        <v>3</v>
      </c>
      <c r="DH6" s="739">
        <f t="shared" si="24"/>
        <v>3</v>
      </c>
      <c r="DI6" s="655" t="s">
        <v>389</v>
      </c>
      <c r="DJ6" s="657">
        <f t="shared" si="25"/>
        <v>1.9830996104193122E-3</v>
      </c>
      <c r="DK6" s="646">
        <f t="shared" si="85"/>
        <v>747.02318138565977</v>
      </c>
      <c r="DL6" s="657">
        <f t="shared" si="26"/>
        <v>2.1527902584321324E-3</v>
      </c>
      <c r="DM6" s="646">
        <f t="shared" si="27"/>
        <v>5270.3222758423099</v>
      </c>
      <c r="DN6" s="657">
        <f t="shared" si="28"/>
        <v>1.4269347739476162E-3</v>
      </c>
      <c r="DO6" s="646">
        <f t="shared" si="29"/>
        <v>5063.997468964325</v>
      </c>
      <c r="DP6" s="646">
        <f t="shared" si="86"/>
        <v>11081.342926192294</v>
      </c>
      <c r="DQ6" s="657">
        <f t="shared" si="30"/>
        <v>1.7386059761460356E-3</v>
      </c>
      <c r="DR6" s="709">
        <f t="shared" si="31"/>
        <v>0.35324</v>
      </c>
      <c r="DV6" s="545">
        <f t="shared" ref="DV6:DV27" si="120">+DV5+1</f>
        <v>3</v>
      </c>
      <c r="DW6" s="739">
        <f t="shared" si="32"/>
        <v>3</v>
      </c>
      <c r="DX6" s="655" t="s">
        <v>389</v>
      </c>
      <c r="DY6" s="657">
        <f t="shared" si="33"/>
        <v>2.1527902584321324E-3</v>
      </c>
      <c r="DZ6" s="646">
        <f t="shared" si="34"/>
        <v>8696.180466021724</v>
      </c>
      <c r="EA6" s="709">
        <f t="shared" si="35"/>
        <v>0.27720800000000001</v>
      </c>
      <c r="EE6" s="561">
        <v>3</v>
      </c>
      <c r="EF6" s="719" t="s">
        <v>169</v>
      </c>
      <c r="EG6" s="738">
        <v>3925054.0147022721</v>
      </c>
      <c r="EH6" s="720">
        <f>EG6/$EG$7</f>
        <v>0.32612978141374083</v>
      </c>
      <c r="EI6" s="738">
        <f>EH6*$EI$7</f>
        <v>4303499.3632418104</v>
      </c>
      <c r="EM6" s="545">
        <f t="shared" ref="EM6:EM27" si="121">+EM5+1</f>
        <v>3</v>
      </c>
      <c r="EN6" s="739">
        <f t="shared" si="36"/>
        <v>3</v>
      </c>
      <c r="EO6" s="655" t="s">
        <v>389</v>
      </c>
      <c r="EP6" s="657">
        <f t="shared" si="37"/>
        <v>2.4060028645958497E-3</v>
      </c>
      <c r="EQ6" s="646">
        <f t="shared" si="38"/>
        <v>18948.625940083726</v>
      </c>
      <c r="ER6" s="657">
        <f t="shared" si="39"/>
        <v>1.9830996104193122E-3</v>
      </c>
      <c r="ES6" s="646">
        <f t="shared" si="40"/>
        <v>2016.0254093230972</v>
      </c>
      <c r="ET6" s="657">
        <f t="shared" si="41"/>
        <v>1.4269347739476162E-3</v>
      </c>
      <c r="EU6" s="646">
        <f t="shared" si="42"/>
        <v>6140.812891071163</v>
      </c>
      <c r="EV6" s="646">
        <f t="shared" si="43"/>
        <v>27105.464240477988</v>
      </c>
      <c r="EW6" s="657">
        <f t="shared" si="44"/>
        <v>2.0541188418361916E-3</v>
      </c>
      <c r="EX6" s="709">
        <f t="shared" si="45"/>
        <v>0.86404000000000003</v>
      </c>
      <c r="FB6" s="562">
        <v>3</v>
      </c>
      <c r="FC6" s="563" t="s">
        <v>388</v>
      </c>
      <c r="FD6" s="564">
        <f>SUM(FD4:FD5)</f>
        <v>19744156.909952182</v>
      </c>
      <c r="FH6" s="545">
        <f t="shared" ref="FH6:FH27" si="122">+FH5+1</f>
        <v>3</v>
      </c>
      <c r="FI6" s="669">
        <f t="shared" si="46"/>
        <v>3</v>
      </c>
      <c r="FJ6" s="655" t="s">
        <v>389</v>
      </c>
      <c r="FK6" s="657">
        <f t="shared" si="47"/>
        <v>2.4060028645958497E-3</v>
      </c>
      <c r="FL6" s="646">
        <f t="shared" si="48"/>
        <v>47504.498084374893</v>
      </c>
      <c r="FM6" s="709">
        <f t="shared" si="49"/>
        <v>1.5143</v>
      </c>
      <c r="FQ6" s="543">
        <v>3</v>
      </c>
      <c r="FR6" s="669">
        <v>3</v>
      </c>
      <c r="FS6" s="655" t="s">
        <v>389</v>
      </c>
      <c r="FT6" s="646">
        <f t="shared" si="50"/>
        <v>121993.72200725072</v>
      </c>
      <c r="FU6" s="646">
        <f t="shared" si="51"/>
        <v>41427.236092344749</v>
      </c>
      <c r="FV6" s="646">
        <f t="shared" si="52"/>
        <v>49723.677876840156</v>
      </c>
      <c r="FW6" s="646">
        <f t="shared" si="88"/>
        <v>11081.342926192294</v>
      </c>
      <c r="FX6" s="646">
        <f t="shared" si="53"/>
        <v>8696.180466021724</v>
      </c>
      <c r="FY6" s="646">
        <f t="shared" si="54"/>
        <v>27105.464240477988</v>
      </c>
      <c r="FZ6" s="646">
        <f t="shared" si="55"/>
        <v>47504.498084374893</v>
      </c>
      <c r="GA6" s="646">
        <f t="shared" si="56"/>
        <v>307532.12169350253</v>
      </c>
      <c r="GB6" s="746">
        <f t="shared" si="57"/>
        <v>9.8031959999999998</v>
      </c>
      <c r="GF6" s="545">
        <f t="shared" si="89"/>
        <v>3</v>
      </c>
      <c r="GG6" s="669">
        <f t="shared" si="58"/>
        <v>3</v>
      </c>
      <c r="GH6" s="655" t="s">
        <v>389</v>
      </c>
      <c r="GI6" s="709">
        <f t="shared" si="59"/>
        <v>3.888792</v>
      </c>
      <c r="GJ6" s="709">
        <f t="shared" si="60"/>
        <v>1.3205750000000001</v>
      </c>
      <c r="GK6" s="709">
        <f t="shared" si="61"/>
        <v>1.5850409999999999</v>
      </c>
      <c r="GL6" s="709">
        <f t="shared" si="62"/>
        <v>0.35324</v>
      </c>
      <c r="GM6" s="709">
        <f t="shared" si="63"/>
        <v>0.27720800000000001</v>
      </c>
      <c r="GN6" s="709">
        <f t="shared" si="64"/>
        <v>0.86404000000000003</v>
      </c>
      <c r="GO6" s="709">
        <f t="shared" si="65"/>
        <v>1.5143</v>
      </c>
      <c r="GP6" s="709">
        <f t="shared" si="66"/>
        <v>9.8031959999999998</v>
      </c>
      <c r="GQ6" s="656">
        <f t="shared" si="90"/>
        <v>3137059.658360593</v>
      </c>
      <c r="GR6" s="530"/>
      <c r="GU6" s="543">
        <f t="shared" si="91"/>
        <v>3</v>
      </c>
      <c r="GV6" s="669">
        <f t="shared" si="67"/>
        <v>3</v>
      </c>
      <c r="GW6" s="655" t="s">
        <v>389</v>
      </c>
      <c r="GX6" s="658" t="s">
        <v>379</v>
      </c>
      <c r="GY6" s="646">
        <f t="shared" si="68"/>
        <v>307532.12169350253</v>
      </c>
      <c r="GZ6" s="656">
        <f t="shared" si="69"/>
        <v>3137059.658360593</v>
      </c>
      <c r="HA6" s="709">
        <f t="shared" si="92"/>
        <v>9.8031959999999998</v>
      </c>
      <c r="HB6" s="646">
        <f t="shared" si="70"/>
        <v>307532.10694601928</v>
      </c>
      <c r="HC6" s="749">
        <f t="shared" si="71"/>
        <v>-1.474748324835673E-2</v>
      </c>
      <c r="HD6" s="565"/>
      <c r="HG6" s="562">
        <v>3</v>
      </c>
      <c r="HH6" s="566" t="s">
        <v>88</v>
      </c>
      <c r="HI6" s="567">
        <f>SUM(HI4:HI5)</f>
        <v>129748584.25697881</v>
      </c>
      <c r="HJ6" s="568">
        <f>SUM(HJ4:HJ5)</f>
        <v>1</v>
      </c>
      <c r="HK6" s="567">
        <f>SUM(HK4:HK5)</f>
        <v>129748589.37699862</v>
      </c>
      <c r="HL6" s="569">
        <f>SUM(HL4:HL5)</f>
        <v>5.1200198093534937</v>
      </c>
      <c r="HM6" s="565"/>
      <c r="HP6" s="545">
        <f t="shared" ref="HP6:HP27" si="123">+HP5+1</f>
        <v>3</v>
      </c>
      <c r="HQ6" s="761">
        <f t="shared" si="72"/>
        <v>3</v>
      </c>
      <c r="HR6" s="655" t="s">
        <v>389</v>
      </c>
      <c r="HS6" s="656">
        <f t="shared" si="93"/>
        <v>3137059.658360593</v>
      </c>
      <c r="HT6" s="756">
        <f t="shared" si="94"/>
        <v>9.8031959999999998</v>
      </c>
      <c r="HU6" s="756">
        <v>8.6401970000000006</v>
      </c>
      <c r="HV6" s="647">
        <f>IF(HU6&lt;&gt;0,HT6/HU6-1,"")</f>
        <v>0.13460329666094406</v>
      </c>
      <c r="HW6" s="756">
        <f t="shared" si="96"/>
        <v>1.1629989999999992</v>
      </c>
      <c r="HX6" s="648">
        <v>10</v>
      </c>
      <c r="IO6" s="545">
        <v>3</v>
      </c>
      <c r="IP6" s="761">
        <v>3</v>
      </c>
      <c r="IQ6" s="655" t="s">
        <v>389</v>
      </c>
      <c r="IR6" s="769">
        <f t="shared" si="97"/>
        <v>307532.12169350253</v>
      </c>
      <c r="IS6" s="770">
        <f t="shared" si="97"/>
        <v>3137059.658360593</v>
      </c>
      <c r="IT6" s="771">
        <f t="shared" si="97"/>
        <v>9.8031959999999998</v>
      </c>
      <c r="IU6" s="656">
        <f t="shared" si="98"/>
        <v>457906.59154492378</v>
      </c>
      <c r="IV6" s="656">
        <f t="shared" si="99"/>
        <v>2679153.0668156692</v>
      </c>
      <c r="IW6" s="769">
        <f t="shared" si="100"/>
        <v>6868.5988731738562</v>
      </c>
      <c r="IX6" s="769">
        <f t="shared" si="101"/>
        <v>300663.52282032865</v>
      </c>
      <c r="IY6" s="550">
        <f t="shared" si="102"/>
        <v>9.584246254897602</v>
      </c>
      <c r="IZ6" s="550">
        <f t="shared" si="103"/>
        <v>11.084246254897602</v>
      </c>
      <c r="JA6" s="769">
        <f t="shared" si="104"/>
        <v>307532.12169350253</v>
      </c>
      <c r="JB6" s="746">
        <f t="shared" si="105"/>
        <v>0.21894974510239784</v>
      </c>
      <c r="JF6" s="545">
        <f t="shared" ref="JF6:JF27" si="124">+JF5+1</f>
        <v>3</v>
      </c>
      <c r="JG6" s="761">
        <f t="shared" si="73"/>
        <v>3</v>
      </c>
      <c r="JH6" s="655" t="s">
        <v>389</v>
      </c>
      <c r="JI6" s="656">
        <f t="shared" si="106"/>
        <v>3137059.658360593</v>
      </c>
      <c r="JJ6" s="756">
        <f t="shared" si="107"/>
        <v>9.584246254897602</v>
      </c>
      <c r="JK6" s="756">
        <v>8.4179636538958409</v>
      </c>
      <c r="JL6" s="647">
        <f>IF(JK6&lt;&gt;0,JJ6/JK6-1,"")</f>
        <v>0.13854688009516458</v>
      </c>
      <c r="JM6" s="756">
        <f t="shared" si="109"/>
        <v>1.1662826010017611</v>
      </c>
      <c r="JN6" s="648">
        <v>10</v>
      </c>
      <c r="JS6" s="756">
        <v>9.6211984482145372</v>
      </c>
      <c r="JT6" s="756">
        <f t="shared" si="110"/>
        <v>-3.6952193316935222E-2</v>
      </c>
      <c r="JU6" s="1009">
        <v>2959233</v>
      </c>
      <c r="JV6" s="1009">
        <f t="shared" ref="JV6:JV28" si="125">JU6-JI6</f>
        <v>-177826.65836059302</v>
      </c>
      <c r="JW6" s="1069">
        <f t="shared" si="111"/>
        <v>-3.840705865888533E-3</v>
      </c>
      <c r="JX6" s="997">
        <v>284713.67947505252</v>
      </c>
      <c r="JY6" s="997">
        <f t="shared" si="112"/>
        <v>300663.52282032865</v>
      </c>
      <c r="JZ6" s="516"/>
      <c r="KA6" s="516" t="s">
        <v>444</v>
      </c>
      <c r="KB6" s="1070">
        <f>SUM(KB4:KB5)</f>
        <v>-1582684.2418104629</v>
      </c>
      <c r="KC6" s="516"/>
      <c r="KE6" s="516"/>
      <c r="KF6" s="516"/>
    </row>
    <row r="7" spans="1:292" ht="17.25" thickBot="1" x14ac:dyDescent="0.35">
      <c r="A7" s="222">
        <v>4</v>
      </c>
      <c r="B7" s="653" t="s">
        <v>49</v>
      </c>
      <c r="C7" s="650">
        <f>'DCA 8 month Phase I'!MC17</f>
        <v>25073716.728897151</v>
      </c>
      <c r="D7" s="651">
        <f t="shared" si="0"/>
        <v>0.1932340354795864</v>
      </c>
      <c r="E7" s="986">
        <v>1.1422480863023685</v>
      </c>
      <c r="I7" s="222">
        <f t="shared" si="113"/>
        <v>4</v>
      </c>
      <c r="J7" s="659">
        <f t="shared" si="1"/>
        <v>4</v>
      </c>
      <c r="K7" s="660" t="s">
        <v>392</v>
      </c>
      <c r="L7" s="991">
        <v>359269.10340231913</v>
      </c>
      <c r="M7" s="662">
        <f t="shared" si="2"/>
        <v>1.6341849779090924E-4</v>
      </c>
      <c r="N7" s="661">
        <v>172</v>
      </c>
      <c r="O7" s="661">
        <f t="shared" si="75"/>
        <v>2088.7738569902276</v>
      </c>
      <c r="P7" s="662">
        <f t="shared" si="3"/>
        <v>1.1696623848132083E-3</v>
      </c>
      <c r="Q7" s="663" t="s">
        <v>379</v>
      </c>
      <c r="U7" s="551">
        <f t="shared" si="114"/>
        <v>4</v>
      </c>
      <c r="V7" s="670">
        <f t="shared" si="4"/>
        <v>4</v>
      </c>
      <c r="W7" s="660" t="s">
        <v>392</v>
      </c>
      <c r="X7" s="671">
        <f t="shared" si="76"/>
        <v>58462.847043704329</v>
      </c>
      <c r="Y7" s="662">
        <f t="shared" si="5"/>
        <v>6.0390036671845366E-4</v>
      </c>
      <c r="AC7" s="551">
        <f t="shared" si="115"/>
        <v>4</v>
      </c>
      <c r="AD7" s="681">
        <v>4</v>
      </c>
      <c r="AE7" s="682" t="s">
        <v>392</v>
      </c>
      <c r="AF7" s="683">
        <v>9.15</v>
      </c>
      <c r="AJ7" s="570">
        <f t="shared" si="77"/>
        <v>4</v>
      </c>
      <c r="AK7" s="571" t="s">
        <v>390</v>
      </c>
      <c r="AL7" s="692">
        <f>AU28*3600/AT28</f>
        <v>3.1009782265389583</v>
      </c>
      <c r="AP7" s="551">
        <f t="shared" si="78"/>
        <v>4</v>
      </c>
      <c r="AQ7" s="697">
        <f t="shared" si="6"/>
        <v>4</v>
      </c>
      <c r="AR7" s="660" t="s">
        <v>392</v>
      </c>
      <c r="AS7" s="660">
        <f t="shared" si="7"/>
        <v>9.15</v>
      </c>
      <c r="AT7" s="698">
        <f t="shared" si="79"/>
        <v>359269.10340231913</v>
      </c>
      <c r="AU7" s="698">
        <f t="shared" si="116"/>
        <v>913.1423044808945</v>
      </c>
      <c r="AV7" s="699">
        <f t="shared" si="8"/>
        <v>941.24333820475283</v>
      </c>
      <c r="AW7" s="700">
        <f t="shared" si="9"/>
        <v>21.592508896755891</v>
      </c>
      <c r="AX7" s="671">
        <f t="shared" ref="AX7:AX27" si="126">AV7*AW7</f>
        <v>20323.80515419834</v>
      </c>
      <c r="AY7" s="465">
        <f t="shared" si="80"/>
        <v>4.8219598641159123E-4</v>
      </c>
      <c r="AZ7" s="553">
        <f t="shared" si="10"/>
        <v>5.656987</v>
      </c>
      <c r="BK7" s="222">
        <f t="shared" si="117"/>
        <v>4</v>
      </c>
      <c r="BL7" s="663">
        <f t="shared" si="11"/>
        <v>4</v>
      </c>
      <c r="BM7" s="660" t="s">
        <v>392</v>
      </c>
      <c r="BN7" s="662">
        <f t="shared" si="81"/>
        <v>4.8219598641159123E-4</v>
      </c>
      <c r="BO7" s="671">
        <f t="shared" si="82"/>
        <v>4622.6744775363204</v>
      </c>
      <c r="BP7" s="662">
        <f t="shared" si="83"/>
        <v>1.6341849779090924E-4</v>
      </c>
      <c r="BQ7" s="671">
        <f t="shared" si="84"/>
        <v>1566.6462189308722</v>
      </c>
      <c r="BR7" s="710">
        <f t="shared" si="12"/>
        <v>6189.3206964671926</v>
      </c>
      <c r="BS7" s="711">
        <f t="shared" si="13"/>
        <v>1.722753</v>
      </c>
      <c r="BW7" s="222">
        <f>+BW6+1</f>
        <v>4</v>
      </c>
      <c r="BX7" s="660" t="s">
        <v>391</v>
      </c>
      <c r="BY7" s="716">
        <v>0.27421214545215511</v>
      </c>
      <c r="BZ7" s="717">
        <f>BY7*$BZ$9</f>
        <v>6875517.6586904805</v>
      </c>
      <c r="CA7" s="718"/>
      <c r="CB7" s="718">
        <v>1</v>
      </c>
      <c r="CC7" s="717">
        <f t="shared" si="14"/>
        <v>0</v>
      </c>
      <c r="CD7" s="717">
        <f t="shared" si="14"/>
        <v>6875517.6586904805</v>
      </c>
      <c r="CH7" s="222">
        <f t="shared" si="118"/>
        <v>4</v>
      </c>
      <c r="CI7" s="681">
        <f t="shared" si="15"/>
        <v>4</v>
      </c>
      <c r="CJ7" s="660" t="s">
        <v>392</v>
      </c>
      <c r="CK7" s="723">
        <f t="shared" si="16"/>
        <v>1.6341849779090924E-4</v>
      </c>
      <c r="CL7" s="650">
        <f t="shared" si="17"/>
        <v>957.91654536102294</v>
      </c>
      <c r="CM7" s="723">
        <f t="shared" si="18"/>
        <v>1.1696623848132083E-3</v>
      </c>
      <c r="CN7" s="650">
        <f t="shared" si="19"/>
        <v>22471.527948331081</v>
      </c>
      <c r="CO7" s="650">
        <f t="shared" si="20"/>
        <v>23429.444493692103</v>
      </c>
      <c r="CP7" s="723">
        <f t="shared" si="21"/>
        <v>9.3442247701115417E-4</v>
      </c>
      <c r="CQ7" s="724">
        <f t="shared" si="22"/>
        <v>6.5214189999999999</v>
      </c>
      <c r="CU7" s="274">
        <v>4</v>
      </c>
      <c r="CV7" s="572" t="s">
        <v>71</v>
      </c>
      <c r="CW7" s="430"/>
      <c r="CX7" s="430"/>
      <c r="CY7" s="573"/>
      <c r="CZ7" s="277">
        <f>SUM(CZ4:CZ6)</f>
        <v>376694.73457649816</v>
      </c>
      <c r="DA7" s="277">
        <f>SUM(DA4:DA6)</f>
        <v>2448135.5093462113</v>
      </c>
      <c r="DB7" s="277">
        <f>SUM(DB4:DB6)</f>
        <v>3548864.0135629829</v>
      </c>
      <c r="DC7" s="277">
        <f>SUM(DC4:DC6)</f>
        <v>6373694.2574856924</v>
      </c>
      <c r="DG7" s="551">
        <f t="shared" si="119"/>
        <v>4</v>
      </c>
      <c r="DH7" s="677">
        <f t="shared" si="24"/>
        <v>4</v>
      </c>
      <c r="DI7" s="660" t="s">
        <v>392</v>
      </c>
      <c r="DJ7" s="723">
        <f t="shared" si="25"/>
        <v>9.3442247701115417E-4</v>
      </c>
      <c r="DK7" s="650">
        <f t="shared" si="85"/>
        <v>351.99202696003067</v>
      </c>
      <c r="DL7" s="723">
        <f t="shared" si="26"/>
        <v>1.1696623848132083E-3</v>
      </c>
      <c r="DM7" s="650">
        <f t="shared" si="27"/>
        <v>2863.4920182077881</v>
      </c>
      <c r="DN7" s="723">
        <f t="shared" si="28"/>
        <v>1.6341849779090924E-4</v>
      </c>
      <c r="DO7" s="650">
        <f t="shared" si="29"/>
        <v>579.95002596067968</v>
      </c>
      <c r="DP7" s="650">
        <f t="shared" si="86"/>
        <v>3795.4340711284985</v>
      </c>
      <c r="DQ7" s="723">
        <f t="shared" si="30"/>
        <v>5.9548417570718694E-4</v>
      </c>
      <c r="DR7" s="724">
        <f t="shared" si="31"/>
        <v>1.056432</v>
      </c>
      <c r="DV7" s="551">
        <f t="shared" si="120"/>
        <v>4</v>
      </c>
      <c r="DW7" s="677">
        <f t="shared" si="32"/>
        <v>4</v>
      </c>
      <c r="DX7" s="660" t="s">
        <v>392</v>
      </c>
      <c r="DY7" s="723">
        <f t="shared" si="33"/>
        <v>1.1696623848132083E-3</v>
      </c>
      <c r="DZ7" s="650">
        <f t="shared" si="34"/>
        <v>4724.8426282181963</v>
      </c>
      <c r="EA7" s="724">
        <f t="shared" si="35"/>
        <v>1.315126</v>
      </c>
      <c r="EE7" s="574">
        <v>4</v>
      </c>
      <c r="EF7" s="369" t="s">
        <v>71</v>
      </c>
      <c r="EG7" s="277">
        <f>SUM(EG4:EG6)</f>
        <v>12035251.726130454</v>
      </c>
      <c r="EH7" s="575">
        <f>EG7/$EG$7</f>
        <v>1</v>
      </c>
      <c r="EI7" s="277">
        <f>C10</f>
        <v>13195665.064952241</v>
      </c>
      <c r="EM7" s="551">
        <f t="shared" si="121"/>
        <v>4</v>
      </c>
      <c r="EN7" s="677">
        <f t="shared" si="36"/>
        <v>4</v>
      </c>
      <c r="EO7" s="660" t="s">
        <v>392</v>
      </c>
      <c r="EP7" s="723">
        <f t="shared" si="37"/>
        <v>6.0390036671845366E-4</v>
      </c>
      <c r="EQ7" s="650">
        <f t="shared" si="38"/>
        <v>4756.0550830638877</v>
      </c>
      <c r="ER7" s="723">
        <f t="shared" si="39"/>
        <v>9.3442247701115417E-4</v>
      </c>
      <c r="ES7" s="650">
        <f t="shared" si="40"/>
        <v>949.93688002328554</v>
      </c>
      <c r="ET7" s="723">
        <f t="shared" si="41"/>
        <v>1.6341849779090924E-4</v>
      </c>
      <c r="EU7" s="650">
        <f t="shared" si="42"/>
        <v>703.27140118511113</v>
      </c>
      <c r="EV7" s="650">
        <f t="shared" si="43"/>
        <v>6409.2633642722849</v>
      </c>
      <c r="EW7" s="723">
        <f t="shared" si="44"/>
        <v>4.8570976398115202E-4</v>
      </c>
      <c r="EX7" s="724">
        <f t="shared" si="45"/>
        <v>1.783973</v>
      </c>
      <c r="FD7" s="5"/>
      <c r="FH7" s="551">
        <f t="shared" si="122"/>
        <v>4</v>
      </c>
      <c r="FI7" s="670">
        <f t="shared" si="46"/>
        <v>4</v>
      </c>
      <c r="FJ7" s="660" t="s">
        <v>392</v>
      </c>
      <c r="FK7" s="723">
        <f t="shared" si="47"/>
        <v>6.0390036671845366E-4</v>
      </c>
      <c r="FL7" s="650">
        <f t="shared" si="48"/>
        <v>11923.503598466814</v>
      </c>
      <c r="FM7" s="724">
        <f t="shared" si="49"/>
        <v>3.3188219999999999</v>
      </c>
      <c r="FQ7" s="222">
        <v>4</v>
      </c>
      <c r="FR7" s="670">
        <v>4</v>
      </c>
      <c r="FS7" s="660" t="s">
        <v>392</v>
      </c>
      <c r="FT7" s="650">
        <f t="shared" si="50"/>
        <v>20323.80515419834</v>
      </c>
      <c r="FU7" s="650">
        <f t="shared" si="51"/>
        <v>6189.3206964671926</v>
      </c>
      <c r="FV7" s="650">
        <f t="shared" si="52"/>
        <v>23429.444493692103</v>
      </c>
      <c r="FW7" s="650">
        <f t="shared" si="88"/>
        <v>3795.4340711284985</v>
      </c>
      <c r="FX7" s="650">
        <f t="shared" si="53"/>
        <v>4724.8426282181963</v>
      </c>
      <c r="FY7" s="650">
        <f t="shared" si="54"/>
        <v>6409.2633642722849</v>
      </c>
      <c r="FZ7" s="650">
        <f t="shared" si="55"/>
        <v>11923.503598466814</v>
      </c>
      <c r="GA7" s="650">
        <f t="shared" si="56"/>
        <v>76795.614006443429</v>
      </c>
      <c r="GB7" s="747">
        <f t="shared" si="57"/>
        <v>21.375513000000002</v>
      </c>
      <c r="GF7" s="551">
        <f t="shared" si="89"/>
        <v>4</v>
      </c>
      <c r="GG7" s="670">
        <f t="shared" si="58"/>
        <v>4</v>
      </c>
      <c r="GH7" s="660" t="s">
        <v>392</v>
      </c>
      <c r="GI7" s="724">
        <f t="shared" si="59"/>
        <v>5.656987</v>
      </c>
      <c r="GJ7" s="724">
        <f t="shared" si="60"/>
        <v>1.722753</v>
      </c>
      <c r="GK7" s="724">
        <f t="shared" si="61"/>
        <v>6.5214189999999999</v>
      </c>
      <c r="GL7" s="724">
        <f t="shared" si="62"/>
        <v>1.056432</v>
      </c>
      <c r="GM7" s="724">
        <f t="shared" si="63"/>
        <v>1.315126</v>
      </c>
      <c r="GN7" s="724">
        <f t="shared" si="64"/>
        <v>1.783973</v>
      </c>
      <c r="GO7" s="724">
        <f t="shared" si="65"/>
        <v>3.3188219999999999</v>
      </c>
      <c r="GP7" s="724">
        <f t="shared" si="66"/>
        <v>21.375513000000002</v>
      </c>
      <c r="GQ7" s="661">
        <f t="shared" si="90"/>
        <v>359269.10340231913</v>
      </c>
      <c r="GR7" s="530"/>
      <c r="GU7" s="222">
        <f t="shared" si="91"/>
        <v>4</v>
      </c>
      <c r="GV7" s="670">
        <f t="shared" si="67"/>
        <v>4</v>
      </c>
      <c r="GW7" s="660" t="s">
        <v>392</v>
      </c>
      <c r="GX7" s="663" t="s">
        <v>379</v>
      </c>
      <c r="GY7" s="671">
        <f t="shared" si="68"/>
        <v>76795.614006443429</v>
      </c>
      <c r="GZ7" s="661">
        <f t="shared" si="69"/>
        <v>359269.10340231913</v>
      </c>
      <c r="HA7" s="724">
        <f t="shared" si="92"/>
        <v>21.375513000000002</v>
      </c>
      <c r="HB7" s="650">
        <f t="shared" si="70"/>
        <v>76795.613902746176</v>
      </c>
      <c r="HC7" s="750">
        <f t="shared" si="71"/>
        <v>-1.0369725350756198E-4</v>
      </c>
      <c r="HD7" s="549"/>
      <c r="HG7" s="549"/>
      <c r="HH7" s="549"/>
      <c r="HI7" s="549"/>
      <c r="HJ7" s="549"/>
      <c r="HK7" s="549"/>
      <c r="HL7" s="549"/>
      <c r="HM7" s="549"/>
      <c r="HP7" s="551">
        <f t="shared" si="123"/>
        <v>4</v>
      </c>
      <c r="HQ7" s="762">
        <f t="shared" si="72"/>
        <v>4</v>
      </c>
      <c r="HR7" s="660" t="s">
        <v>392</v>
      </c>
      <c r="HS7" s="661">
        <f t="shared" si="93"/>
        <v>359269.10340231913</v>
      </c>
      <c r="HT7" s="757">
        <f t="shared" si="94"/>
        <v>21.375513000000002</v>
      </c>
      <c r="HU7" s="757">
        <v>18.985862000000001</v>
      </c>
      <c r="HV7" s="651">
        <f t="shared" si="95"/>
        <v>0.12586476189493001</v>
      </c>
      <c r="HW7" s="757">
        <f t="shared" si="96"/>
        <v>2.3896510000000006</v>
      </c>
      <c r="HX7" s="652">
        <v>25</v>
      </c>
      <c r="IO7" s="551">
        <v>4</v>
      </c>
      <c r="IP7" s="762">
        <v>4</v>
      </c>
      <c r="IQ7" s="660" t="s">
        <v>392</v>
      </c>
      <c r="IR7" s="772">
        <f t="shared" si="97"/>
        <v>76795.614006443429</v>
      </c>
      <c r="IS7" s="773">
        <f t="shared" si="97"/>
        <v>359269.10340231913</v>
      </c>
      <c r="IT7" s="774">
        <f t="shared" si="97"/>
        <v>21.375513000000002</v>
      </c>
      <c r="IU7" s="661">
        <f t="shared" si="98"/>
        <v>52441.365004938889</v>
      </c>
      <c r="IV7" s="661">
        <f t="shared" si="99"/>
        <v>306827.73839738022</v>
      </c>
      <c r="IW7" s="772">
        <f t="shared" si="100"/>
        <v>786.62047507408329</v>
      </c>
      <c r="IX7" s="772">
        <f t="shared" si="101"/>
        <v>76008.993531369342</v>
      </c>
      <c r="IY7" s="455">
        <f t="shared" si="102"/>
        <v>21.156562813655714</v>
      </c>
      <c r="IZ7" s="555">
        <f t="shared" si="103"/>
        <v>22.656562813655714</v>
      </c>
      <c r="JA7" s="772">
        <f t="shared" si="104"/>
        <v>76795.614006443429</v>
      </c>
      <c r="JB7" s="778">
        <f t="shared" si="105"/>
        <v>0.21895018634428709</v>
      </c>
      <c r="JF7" s="551">
        <f t="shared" si="124"/>
        <v>4</v>
      </c>
      <c r="JG7" s="762">
        <f t="shared" si="73"/>
        <v>4</v>
      </c>
      <c r="JH7" s="660" t="s">
        <v>392</v>
      </c>
      <c r="JI7" s="661">
        <f t="shared" si="106"/>
        <v>359269.10340231913</v>
      </c>
      <c r="JJ7" s="757">
        <f t="shared" si="107"/>
        <v>21.156562813655714</v>
      </c>
      <c r="JK7" s="757">
        <v>18.76362854838003</v>
      </c>
      <c r="JL7" s="651">
        <f t="shared" ref="JL7:JL27" si="127">IF(JK7&lt;&gt;0,JJ7/JK7-1,"")</f>
        <v>0.12753046454238626</v>
      </c>
      <c r="JM7" s="757">
        <f t="shared" si="109"/>
        <v>2.3929342652756844</v>
      </c>
      <c r="JN7" s="652">
        <v>25</v>
      </c>
      <c r="JS7" s="757">
        <v>21.254814106638431</v>
      </c>
      <c r="JT7" s="757">
        <f t="shared" si="110"/>
        <v>-9.825129298271662E-2</v>
      </c>
      <c r="JU7" s="1010">
        <v>360281</v>
      </c>
      <c r="JV7" s="1010">
        <f t="shared" si="125"/>
        <v>1011.8965976808686</v>
      </c>
      <c r="JW7" s="1069">
        <f t="shared" si="111"/>
        <v>-4.6225430384747605E-3</v>
      </c>
      <c r="JX7" s="997">
        <v>76577.056811538001</v>
      </c>
      <c r="JY7" s="997">
        <f t="shared" si="112"/>
        <v>76008.993531369342</v>
      </c>
      <c r="JZ7" s="516"/>
      <c r="KA7" s="516"/>
      <c r="KB7" s="516"/>
      <c r="KC7" s="516"/>
      <c r="KE7" s="516"/>
      <c r="KF7" s="516"/>
    </row>
    <row r="8" spans="1:292" ht="16.5" x14ac:dyDescent="0.3">
      <c r="A8" s="543">
        <v>5</v>
      </c>
      <c r="B8" s="645" t="s">
        <v>52</v>
      </c>
      <c r="C8" s="646">
        <f>'DCA 8 month Phase I'!MC18</f>
        <v>6383393.3519198252</v>
      </c>
      <c r="D8" s="647">
        <f t="shared" si="0"/>
        <v>4.9194496004792566E-2</v>
      </c>
      <c r="E8" s="986">
        <v>0.29035743471963715</v>
      </c>
      <c r="I8" s="543">
        <f t="shared" si="113"/>
        <v>5</v>
      </c>
      <c r="J8" s="654">
        <f t="shared" si="1"/>
        <v>5</v>
      </c>
      <c r="K8" s="655" t="s">
        <v>394</v>
      </c>
      <c r="L8" s="991">
        <v>0</v>
      </c>
      <c r="M8" s="657">
        <f t="shared" si="2"/>
        <v>0</v>
      </c>
      <c r="N8" s="656">
        <v>10</v>
      </c>
      <c r="O8" s="656">
        <f t="shared" si="75"/>
        <v>0</v>
      </c>
      <c r="P8" s="657">
        <f t="shared" si="3"/>
        <v>0</v>
      </c>
      <c r="Q8" s="658" t="s">
        <v>384</v>
      </c>
      <c r="U8" s="545">
        <f t="shared" si="114"/>
        <v>5</v>
      </c>
      <c r="V8" s="669">
        <f t="shared" si="4"/>
        <v>5</v>
      </c>
      <c r="W8" s="655" t="s">
        <v>394</v>
      </c>
      <c r="X8" s="646">
        <f t="shared" si="76"/>
        <v>0</v>
      </c>
      <c r="Y8" s="657">
        <f t="shared" si="5"/>
        <v>0</v>
      </c>
      <c r="AC8" s="545">
        <f t="shared" si="115"/>
        <v>5</v>
      </c>
      <c r="AD8" s="678">
        <v>5</v>
      </c>
      <c r="AE8" s="679" t="s">
        <v>394</v>
      </c>
      <c r="AF8" s="680">
        <v>73.19</v>
      </c>
      <c r="AJ8" s="501"/>
      <c r="AP8" s="545">
        <f t="shared" si="78"/>
        <v>5</v>
      </c>
      <c r="AQ8" s="693">
        <f t="shared" si="6"/>
        <v>5</v>
      </c>
      <c r="AR8" s="655" t="s">
        <v>394</v>
      </c>
      <c r="AS8" s="655">
        <f t="shared" si="7"/>
        <v>73.19</v>
      </c>
      <c r="AT8" s="694">
        <f t="shared" si="79"/>
        <v>0</v>
      </c>
      <c r="AU8" s="694">
        <f t="shared" si="116"/>
        <v>0</v>
      </c>
      <c r="AV8" s="695">
        <f t="shared" si="8"/>
        <v>0</v>
      </c>
      <c r="AW8" s="696">
        <f t="shared" si="9"/>
        <v>21.592508896755891</v>
      </c>
      <c r="AX8" s="646">
        <f t="shared" si="126"/>
        <v>0</v>
      </c>
      <c r="AY8" s="544">
        <f t="shared" si="80"/>
        <v>0</v>
      </c>
      <c r="AZ8" s="548">
        <f t="shared" si="10"/>
        <v>0</v>
      </c>
      <c r="BK8" s="543">
        <f t="shared" si="117"/>
        <v>5</v>
      </c>
      <c r="BL8" s="658">
        <f t="shared" si="11"/>
        <v>5</v>
      </c>
      <c r="BM8" s="655" t="s">
        <v>394</v>
      </c>
      <c r="BN8" s="657">
        <f t="shared" si="81"/>
        <v>0</v>
      </c>
      <c r="BO8" s="646">
        <f t="shared" si="82"/>
        <v>0</v>
      </c>
      <c r="BP8" s="657">
        <f t="shared" si="83"/>
        <v>0</v>
      </c>
      <c r="BQ8" s="646">
        <f t="shared" si="84"/>
        <v>0</v>
      </c>
      <c r="BR8" s="708">
        <f t="shared" si="12"/>
        <v>0</v>
      </c>
      <c r="BS8" s="709">
        <f t="shared" si="13"/>
        <v>0</v>
      </c>
      <c r="BW8" s="561">
        <f>+BW7+1</f>
        <v>5</v>
      </c>
      <c r="BX8" s="719" t="s">
        <v>393</v>
      </c>
      <c r="BY8" s="720">
        <v>0.37381287569302735</v>
      </c>
      <c r="BZ8" s="721">
        <f>BY8*$BZ$9</f>
        <v>9372878.1547414102</v>
      </c>
      <c r="CA8" s="722"/>
      <c r="CB8" s="722">
        <v>1</v>
      </c>
      <c r="CC8" s="721">
        <f t="shared" si="14"/>
        <v>0</v>
      </c>
      <c r="CD8" s="721">
        <f t="shared" si="14"/>
        <v>9372878.1547414102</v>
      </c>
      <c r="CH8" s="543">
        <f t="shared" si="118"/>
        <v>5</v>
      </c>
      <c r="CI8" s="678">
        <f t="shared" si="15"/>
        <v>5</v>
      </c>
      <c r="CJ8" s="655" t="s">
        <v>394</v>
      </c>
      <c r="CK8" s="657">
        <f t="shared" si="16"/>
        <v>0</v>
      </c>
      <c r="CL8" s="646">
        <f t="shared" si="17"/>
        <v>0</v>
      </c>
      <c r="CM8" s="657">
        <f t="shared" si="18"/>
        <v>0</v>
      </c>
      <c r="CN8" s="646">
        <f t="shared" si="19"/>
        <v>0</v>
      </c>
      <c r="CO8" s="646">
        <f t="shared" si="20"/>
        <v>0</v>
      </c>
      <c r="CP8" s="657">
        <f t="shared" si="21"/>
        <v>0</v>
      </c>
      <c r="CQ8" s="709">
        <f t="shared" si="22"/>
        <v>0</v>
      </c>
      <c r="CW8" s="232"/>
      <c r="CX8" s="232"/>
      <c r="CY8" s="232"/>
      <c r="CZ8" s="232"/>
      <c r="DA8" s="232"/>
      <c r="DB8" s="232"/>
      <c r="DC8" s="232"/>
      <c r="DG8" s="545">
        <f t="shared" si="119"/>
        <v>5</v>
      </c>
      <c r="DH8" s="739">
        <f t="shared" si="24"/>
        <v>5</v>
      </c>
      <c r="DI8" s="655" t="s">
        <v>394</v>
      </c>
      <c r="DJ8" s="657">
        <f t="shared" si="25"/>
        <v>0</v>
      </c>
      <c r="DK8" s="646">
        <f t="shared" si="85"/>
        <v>0</v>
      </c>
      <c r="DL8" s="657">
        <f t="shared" si="26"/>
        <v>0</v>
      </c>
      <c r="DM8" s="646">
        <f t="shared" si="27"/>
        <v>0</v>
      </c>
      <c r="DN8" s="657">
        <f t="shared" si="28"/>
        <v>0</v>
      </c>
      <c r="DO8" s="646">
        <f t="shared" si="29"/>
        <v>0</v>
      </c>
      <c r="DP8" s="646">
        <f t="shared" si="86"/>
        <v>0</v>
      </c>
      <c r="DQ8" s="657">
        <f t="shared" si="30"/>
        <v>0</v>
      </c>
      <c r="DR8" s="709">
        <f t="shared" si="31"/>
        <v>0</v>
      </c>
      <c r="DV8" s="545">
        <f t="shared" si="120"/>
        <v>5</v>
      </c>
      <c r="DW8" s="739">
        <f t="shared" si="32"/>
        <v>5</v>
      </c>
      <c r="DX8" s="655" t="s">
        <v>394</v>
      </c>
      <c r="DY8" s="657">
        <f t="shared" si="33"/>
        <v>0</v>
      </c>
      <c r="DZ8" s="646">
        <f t="shared" si="34"/>
        <v>0</v>
      </c>
      <c r="EA8" s="709">
        <f t="shared" si="35"/>
        <v>0</v>
      </c>
      <c r="EM8" s="545">
        <f t="shared" si="121"/>
        <v>5</v>
      </c>
      <c r="EN8" s="739">
        <f t="shared" si="36"/>
        <v>5</v>
      </c>
      <c r="EO8" s="655" t="s">
        <v>394</v>
      </c>
      <c r="EP8" s="657">
        <f t="shared" si="37"/>
        <v>0</v>
      </c>
      <c r="EQ8" s="646">
        <f t="shared" si="38"/>
        <v>0</v>
      </c>
      <c r="ER8" s="657">
        <f t="shared" si="39"/>
        <v>0</v>
      </c>
      <c r="ES8" s="646">
        <f t="shared" si="40"/>
        <v>0</v>
      </c>
      <c r="ET8" s="657">
        <f t="shared" si="41"/>
        <v>0</v>
      </c>
      <c r="EU8" s="646">
        <f t="shared" si="42"/>
        <v>0</v>
      </c>
      <c r="EV8" s="646">
        <f t="shared" si="43"/>
        <v>0</v>
      </c>
      <c r="EW8" s="657">
        <f t="shared" si="44"/>
        <v>0</v>
      </c>
      <c r="EX8" s="709">
        <f t="shared" si="45"/>
        <v>0</v>
      </c>
      <c r="FH8" s="545">
        <f t="shared" si="122"/>
        <v>5</v>
      </c>
      <c r="FI8" s="669">
        <f t="shared" si="46"/>
        <v>5</v>
      </c>
      <c r="FJ8" s="655" t="s">
        <v>394</v>
      </c>
      <c r="FK8" s="657">
        <f t="shared" si="47"/>
        <v>0</v>
      </c>
      <c r="FL8" s="646">
        <f t="shared" si="48"/>
        <v>0</v>
      </c>
      <c r="FM8" s="709">
        <f t="shared" si="49"/>
        <v>0</v>
      </c>
      <c r="FQ8" s="543">
        <v>5</v>
      </c>
      <c r="FR8" s="669">
        <v>5</v>
      </c>
      <c r="FS8" s="655" t="s">
        <v>394</v>
      </c>
      <c r="FT8" s="646">
        <f t="shared" si="50"/>
        <v>0</v>
      </c>
      <c r="FU8" s="646">
        <f t="shared" si="51"/>
        <v>0</v>
      </c>
      <c r="FV8" s="646">
        <f t="shared" si="52"/>
        <v>0</v>
      </c>
      <c r="FW8" s="646">
        <f t="shared" si="88"/>
        <v>0</v>
      </c>
      <c r="FX8" s="646">
        <f t="shared" si="53"/>
        <v>0</v>
      </c>
      <c r="FY8" s="646">
        <f t="shared" si="54"/>
        <v>0</v>
      </c>
      <c r="FZ8" s="646">
        <f t="shared" si="55"/>
        <v>0</v>
      </c>
      <c r="GA8" s="646">
        <f t="shared" si="56"/>
        <v>0</v>
      </c>
      <c r="GB8" s="746">
        <f t="shared" si="57"/>
        <v>0</v>
      </c>
      <c r="GF8" s="545">
        <f t="shared" si="89"/>
        <v>5</v>
      </c>
      <c r="GG8" s="669">
        <f t="shared" si="58"/>
        <v>5</v>
      </c>
      <c r="GH8" s="655" t="s">
        <v>394</v>
      </c>
      <c r="GI8" s="709">
        <f t="shared" si="59"/>
        <v>0</v>
      </c>
      <c r="GJ8" s="709">
        <f t="shared" si="60"/>
        <v>0</v>
      </c>
      <c r="GK8" s="709">
        <f t="shared" si="61"/>
        <v>0</v>
      </c>
      <c r="GL8" s="709">
        <f t="shared" si="62"/>
        <v>0</v>
      </c>
      <c r="GM8" s="709">
        <f t="shared" si="63"/>
        <v>0</v>
      </c>
      <c r="GN8" s="709">
        <f t="shared" si="64"/>
        <v>0</v>
      </c>
      <c r="GO8" s="709">
        <f t="shared" si="65"/>
        <v>0</v>
      </c>
      <c r="GP8" s="709">
        <f t="shared" si="66"/>
        <v>0</v>
      </c>
      <c r="GQ8" s="656">
        <f t="shared" si="90"/>
        <v>0</v>
      </c>
      <c r="GR8" s="530"/>
      <c r="GU8" s="543">
        <f t="shared" si="91"/>
        <v>5</v>
      </c>
      <c r="GV8" s="669">
        <f t="shared" si="67"/>
        <v>5</v>
      </c>
      <c r="GW8" s="655" t="s">
        <v>394</v>
      </c>
      <c r="GX8" s="658" t="s">
        <v>384</v>
      </c>
      <c r="GY8" s="646">
        <f t="shared" si="68"/>
        <v>0</v>
      </c>
      <c r="GZ8" s="656">
        <f t="shared" si="69"/>
        <v>0</v>
      </c>
      <c r="HA8" s="709">
        <f t="shared" si="92"/>
        <v>3149</v>
      </c>
      <c r="HB8" s="646">
        <f>ROUND(HA8,10)*GZ8/100</f>
        <v>0</v>
      </c>
      <c r="HC8" s="749">
        <f t="shared" si="71"/>
        <v>0</v>
      </c>
      <c r="HD8" s="549"/>
      <c r="HG8" s="549"/>
      <c r="HH8" s="549"/>
      <c r="HI8" s="549"/>
      <c r="HJ8" s="549"/>
      <c r="HK8" s="549"/>
      <c r="HL8" s="549"/>
      <c r="HM8" s="549"/>
      <c r="HP8" s="545">
        <f t="shared" si="123"/>
        <v>5</v>
      </c>
      <c r="HQ8" s="761">
        <f t="shared" si="72"/>
        <v>5</v>
      </c>
      <c r="HR8" s="655" t="s">
        <v>394</v>
      </c>
      <c r="HS8" s="656">
        <f t="shared" si="93"/>
        <v>0</v>
      </c>
      <c r="HT8" s="756">
        <f t="shared" si="94"/>
        <v>3149</v>
      </c>
      <c r="HU8" s="756">
        <v>3149</v>
      </c>
      <c r="HV8" s="647">
        <f t="shared" si="95"/>
        <v>0</v>
      </c>
      <c r="HW8" s="756">
        <f t="shared" si="96"/>
        <v>0</v>
      </c>
      <c r="HX8" s="648">
        <v>10000</v>
      </c>
      <c r="IO8" s="545">
        <v>5</v>
      </c>
      <c r="IP8" s="761">
        <v>5</v>
      </c>
      <c r="IQ8" s="655" t="s">
        <v>394</v>
      </c>
      <c r="IR8" s="769">
        <f t="shared" si="97"/>
        <v>0</v>
      </c>
      <c r="IS8" s="770">
        <f t="shared" si="97"/>
        <v>0</v>
      </c>
      <c r="IT8" s="771">
        <f t="shared" si="97"/>
        <v>3149</v>
      </c>
      <c r="IU8" s="991">
        <v>0</v>
      </c>
      <c r="IV8" s="656">
        <f t="shared" si="99"/>
        <v>0</v>
      </c>
      <c r="IW8" s="769">
        <f t="shared" si="100"/>
        <v>0</v>
      </c>
      <c r="IX8" s="769">
        <f t="shared" si="101"/>
        <v>0</v>
      </c>
      <c r="IY8" s="550">
        <f>IT8</f>
        <v>3149</v>
      </c>
      <c r="IZ8" s="550">
        <f>IY8</f>
        <v>3149</v>
      </c>
      <c r="JA8" s="769">
        <f t="shared" si="104"/>
        <v>0</v>
      </c>
      <c r="JB8" s="746">
        <f t="shared" si="105"/>
        <v>0</v>
      </c>
      <c r="JF8" s="545">
        <f t="shared" si="124"/>
        <v>5</v>
      </c>
      <c r="JG8" s="761">
        <f t="shared" si="73"/>
        <v>5</v>
      </c>
      <c r="JH8" s="655" t="s">
        <v>394</v>
      </c>
      <c r="JI8" s="656">
        <f t="shared" si="106"/>
        <v>0</v>
      </c>
      <c r="JJ8" s="756">
        <f t="shared" si="107"/>
        <v>3149</v>
      </c>
      <c r="JK8" s="756">
        <v>3149</v>
      </c>
      <c r="JL8" s="647">
        <f t="shared" si="127"/>
        <v>0</v>
      </c>
      <c r="JM8" s="756">
        <f t="shared" si="109"/>
        <v>0</v>
      </c>
      <c r="JN8" s="648">
        <v>10000</v>
      </c>
      <c r="JS8" s="756">
        <v>3149</v>
      </c>
      <c r="JT8" s="756">
        <f t="shared" si="110"/>
        <v>0</v>
      </c>
      <c r="JU8" s="1009">
        <v>0</v>
      </c>
      <c r="JV8" s="1009">
        <f t="shared" si="125"/>
        <v>0</v>
      </c>
      <c r="JW8" s="1069">
        <f t="shared" si="111"/>
        <v>0</v>
      </c>
      <c r="JX8" s="997">
        <v>0</v>
      </c>
      <c r="JY8" s="997">
        <f t="shared" si="112"/>
        <v>0</v>
      </c>
      <c r="JZ8" s="516"/>
      <c r="KA8" s="516"/>
      <c r="KB8" s="516"/>
      <c r="KC8" s="516"/>
      <c r="KE8" s="516"/>
      <c r="KF8" s="516"/>
    </row>
    <row r="9" spans="1:292" ht="17.25" thickBot="1" x14ac:dyDescent="0.35">
      <c r="A9" s="222">
        <v>6</v>
      </c>
      <c r="B9" s="653" t="s">
        <v>50</v>
      </c>
      <c r="C9" s="650">
        <f>'DCA 8 month Phase I'!MC19</f>
        <v>4039492.6686239806</v>
      </c>
      <c r="D9" s="651">
        <f t="shared" si="0"/>
        <v>3.1130904049371386E-2</v>
      </c>
      <c r="E9" s="986">
        <v>0.18374188525883148</v>
      </c>
      <c r="I9" s="222">
        <f t="shared" si="113"/>
        <v>6</v>
      </c>
      <c r="J9" s="659">
        <f t="shared" si="1"/>
        <v>6</v>
      </c>
      <c r="K9" s="660" t="s">
        <v>395</v>
      </c>
      <c r="L9" s="991">
        <v>4759525.2530038618</v>
      </c>
      <c r="M9" s="662">
        <f t="shared" si="2"/>
        <v>2.1649355863835396E-3</v>
      </c>
      <c r="N9" s="661">
        <v>1810</v>
      </c>
      <c r="O9" s="661">
        <f t="shared" si="75"/>
        <v>2629.5719629855589</v>
      </c>
      <c r="P9" s="662">
        <f t="shared" si="3"/>
        <v>1.4724961263616716E-3</v>
      </c>
      <c r="Q9" s="663" t="s">
        <v>379</v>
      </c>
      <c r="U9" s="551">
        <f t="shared" si="114"/>
        <v>6</v>
      </c>
      <c r="V9" s="670">
        <f t="shared" si="4"/>
        <v>6</v>
      </c>
      <c r="W9" s="660" t="s">
        <v>395</v>
      </c>
      <c r="X9" s="671">
        <f t="shared" si="76"/>
        <v>302077.2998136853</v>
      </c>
      <c r="Y9" s="662">
        <f t="shared" si="5"/>
        <v>3.1203508101210328E-3</v>
      </c>
      <c r="AC9" s="551">
        <f t="shared" si="115"/>
        <v>6</v>
      </c>
      <c r="AD9" s="681">
        <v>6</v>
      </c>
      <c r="AE9" s="682" t="s">
        <v>395</v>
      </c>
      <c r="AF9" s="683">
        <v>6.16</v>
      </c>
      <c r="AP9" s="551">
        <f t="shared" si="78"/>
        <v>6</v>
      </c>
      <c r="AQ9" s="697">
        <f t="shared" si="6"/>
        <v>6</v>
      </c>
      <c r="AR9" s="660" t="s">
        <v>395</v>
      </c>
      <c r="AS9" s="660">
        <f t="shared" si="7"/>
        <v>6.16</v>
      </c>
      <c r="AT9" s="698">
        <f t="shared" si="79"/>
        <v>4759525.2530038618</v>
      </c>
      <c r="AU9" s="698">
        <f t="shared" si="116"/>
        <v>8144.0765440288296</v>
      </c>
      <c r="AV9" s="699">
        <f t="shared" si="8"/>
        <v>8394.7022882205183</v>
      </c>
      <c r="AW9" s="700">
        <f t="shared" si="9"/>
        <v>21.592508896755891</v>
      </c>
      <c r="AX9" s="671">
        <f t="shared" si="126"/>
        <v>181262.68384401858</v>
      </c>
      <c r="AY9" s="465">
        <f t="shared" si="80"/>
        <v>4.3005794423158815E-3</v>
      </c>
      <c r="AZ9" s="553">
        <f t="shared" si="10"/>
        <v>3.8084190000000002</v>
      </c>
      <c r="BK9" s="222">
        <f t="shared" si="117"/>
        <v>6</v>
      </c>
      <c r="BL9" s="663">
        <f t="shared" si="11"/>
        <v>6</v>
      </c>
      <c r="BM9" s="660" t="s">
        <v>395</v>
      </c>
      <c r="BN9" s="662">
        <f t="shared" si="81"/>
        <v>4.3005794423158815E-3</v>
      </c>
      <c r="BO9" s="671">
        <f t="shared" si="82"/>
        <v>41228.420366074453</v>
      </c>
      <c r="BP9" s="662">
        <f t="shared" si="83"/>
        <v>2.1649355863835396E-3</v>
      </c>
      <c r="BQ9" s="671">
        <f t="shared" si="84"/>
        <v>20754.615887953281</v>
      </c>
      <c r="BR9" s="710">
        <f t="shared" si="12"/>
        <v>61983.036254027735</v>
      </c>
      <c r="BS9" s="711">
        <f t="shared" si="13"/>
        <v>1.302295</v>
      </c>
      <c r="BW9" s="274">
        <v>6</v>
      </c>
      <c r="BX9" s="572" t="s">
        <v>71</v>
      </c>
      <c r="BY9" s="576">
        <f>SUM(BY4:BY8)</f>
        <v>1.0000000000000004</v>
      </c>
      <c r="BZ9" s="577">
        <f>'DCA 8 month Phase II'!C7</f>
        <v>25073716.728897151</v>
      </c>
      <c r="CA9" s="578"/>
      <c r="CB9" s="578"/>
      <c r="CC9" s="577">
        <f>SUM(CC4:CC8)</f>
        <v>5861738.7768834978</v>
      </c>
      <c r="CD9" s="577">
        <f>SUM(CD4:CD8)</f>
        <v>19211977.952013664</v>
      </c>
      <c r="CH9" s="222">
        <f t="shared" si="118"/>
        <v>6</v>
      </c>
      <c r="CI9" s="681">
        <f t="shared" si="15"/>
        <v>6</v>
      </c>
      <c r="CJ9" s="660" t="s">
        <v>395</v>
      </c>
      <c r="CK9" s="723">
        <f t="shared" si="16"/>
        <v>2.1649355863835396E-3</v>
      </c>
      <c r="CL9" s="650">
        <f t="shared" si="17"/>
        <v>12690.286876159407</v>
      </c>
      <c r="CM9" s="723">
        <f t="shared" si="18"/>
        <v>1.4724961263616716E-3</v>
      </c>
      <c r="CN9" s="650">
        <f t="shared" si="19"/>
        <v>28289.563114085959</v>
      </c>
      <c r="CO9" s="650">
        <f t="shared" si="20"/>
        <v>40979.849990245362</v>
      </c>
      <c r="CP9" s="723">
        <f t="shared" si="21"/>
        <v>1.6343747691388952E-3</v>
      </c>
      <c r="CQ9" s="724">
        <f t="shared" si="22"/>
        <v>0.86100699999999997</v>
      </c>
      <c r="DG9" s="551">
        <f t="shared" si="119"/>
        <v>6</v>
      </c>
      <c r="DH9" s="677">
        <f t="shared" si="24"/>
        <v>6</v>
      </c>
      <c r="DI9" s="660" t="s">
        <v>395</v>
      </c>
      <c r="DJ9" s="723">
        <f t="shared" si="25"/>
        <v>1.6343747691388952E-3</v>
      </c>
      <c r="DK9" s="650">
        <f t="shared" si="85"/>
        <v>615.66036985930157</v>
      </c>
      <c r="DL9" s="723">
        <f t="shared" si="26"/>
        <v>1.4724961263616716E-3</v>
      </c>
      <c r="DM9" s="650">
        <f t="shared" si="27"/>
        <v>3604.8700543207538</v>
      </c>
      <c r="DN9" s="723">
        <f t="shared" si="28"/>
        <v>2.1649355863835396E-3</v>
      </c>
      <c r="DO9" s="650">
        <f t="shared" si="29"/>
        <v>7683.0619941984178</v>
      </c>
      <c r="DP9" s="650">
        <f t="shared" si="86"/>
        <v>11903.592418378474</v>
      </c>
      <c r="DQ9" s="723">
        <f t="shared" si="30"/>
        <v>1.8676127121093234E-3</v>
      </c>
      <c r="DR9" s="724">
        <f t="shared" si="31"/>
        <v>0.25009999999999999</v>
      </c>
      <c r="DV9" s="551">
        <f t="shared" si="120"/>
        <v>6</v>
      </c>
      <c r="DW9" s="677">
        <f t="shared" si="32"/>
        <v>6</v>
      </c>
      <c r="DX9" s="660" t="s">
        <v>395</v>
      </c>
      <c r="DY9" s="723">
        <f t="shared" si="33"/>
        <v>1.4724961263616716E-3</v>
      </c>
      <c r="DZ9" s="650">
        <f t="shared" si="34"/>
        <v>5948.1373070151831</v>
      </c>
      <c r="EA9" s="724">
        <f t="shared" si="35"/>
        <v>0.124973</v>
      </c>
      <c r="EG9" s="12" t="s">
        <v>427</v>
      </c>
      <c r="EM9" s="551">
        <f t="shared" si="121"/>
        <v>6</v>
      </c>
      <c r="EN9" s="677">
        <f t="shared" si="36"/>
        <v>6</v>
      </c>
      <c r="EO9" s="660" t="s">
        <v>395</v>
      </c>
      <c r="EP9" s="723">
        <f t="shared" si="37"/>
        <v>3.1203508101210328E-3</v>
      </c>
      <c r="EQ9" s="650">
        <f t="shared" si="38"/>
        <v>24574.517833233116</v>
      </c>
      <c r="ER9" s="723">
        <f t="shared" si="39"/>
        <v>1.6343747691388952E-3</v>
      </c>
      <c r="ES9" s="650">
        <f t="shared" si="40"/>
        <v>1661.5106198542856</v>
      </c>
      <c r="ET9" s="723">
        <f t="shared" si="41"/>
        <v>2.1649355863835396E-3</v>
      </c>
      <c r="EU9" s="650">
        <f t="shared" si="42"/>
        <v>9316.7989174610975</v>
      </c>
      <c r="EV9" s="650">
        <f t="shared" si="43"/>
        <v>35552.827370548497</v>
      </c>
      <c r="EW9" s="723">
        <f t="shared" si="44"/>
        <v>2.6942808259795112E-3</v>
      </c>
      <c r="EX9" s="724">
        <f t="shared" si="45"/>
        <v>0.74698299999999995</v>
      </c>
      <c r="FH9" s="551">
        <f t="shared" si="122"/>
        <v>6</v>
      </c>
      <c r="FI9" s="670">
        <f t="shared" si="46"/>
        <v>6</v>
      </c>
      <c r="FJ9" s="660" t="s">
        <v>395</v>
      </c>
      <c r="FK9" s="723">
        <f t="shared" si="47"/>
        <v>3.1203508101210328E-3</v>
      </c>
      <c r="FL9" s="650">
        <f t="shared" si="48"/>
        <v>61608.696009126077</v>
      </c>
      <c r="FM9" s="724">
        <f t="shared" si="49"/>
        <v>1.2944290000000001</v>
      </c>
      <c r="FQ9" s="222">
        <v>6</v>
      </c>
      <c r="FR9" s="670">
        <v>6</v>
      </c>
      <c r="FS9" s="660" t="s">
        <v>395</v>
      </c>
      <c r="FT9" s="650">
        <f t="shared" si="50"/>
        <v>181262.68384401858</v>
      </c>
      <c r="FU9" s="650">
        <f t="shared" si="51"/>
        <v>61983.036254027735</v>
      </c>
      <c r="FV9" s="650">
        <f t="shared" si="52"/>
        <v>40979.849990245362</v>
      </c>
      <c r="FW9" s="650">
        <f t="shared" si="88"/>
        <v>11903.592418378474</v>
      </c>
      <c r="FX9" s="650">
        <f t="shared" si="53"/>
        <v>5948.1373070151831</v>
      </c>
      <c r="FY9" s="650">
        <f t="shared" si="54"/>
        <v>35552.827370548497</v>
      </c>
      <c r="FZ9" s="650">
        <f t="shared" si="55"/>
        <v>61608.696009126077</v>
      </c>
      <c r="GA9" s="650">
        <f t="shared" si="56"/>
        <v>399238.82319335989</v>
      </c>
      <c r="GB9" s="747">
        <f t="shared" si="57"/>
        <v>8.3882069999999995</v>
      </c>
      <c r="GF9" s="551">
        <f t="shared" si="89"/>
        <v>6</v>
      </c>
      <c r="GG9" s="670">
        <f t="shared" si="58"/>
        <v>6</v>
      </c>
      <c r="GH9" s="660" t="s">
        <v>395</v>
      </c>
      <c r="GI9" s="724">
        <f t="shared" si="59"/>
        <v>3.8084190000000002</v>
      </c>
      <c r="GJ9" s="724">
        <f t="shared" si="60"/>
        <v>1.302295</v>
      </c>
      <c r="GK9" s="724">
        <f t="shared" si="61"/>
        <v>0.86100699999999997</v>
      </c>
      <c r="GL9" s="724">
        <f t="shared" si="62"/>
        <v>0.25009999999999999</v>
      </c>
      <c r="GM9" s="724">
        <f t="shared" si="63"/>
        <v>0.124973</v>
      </c>
      <c r="GN9" s="724">
        <f t="shared" si="64"/>
        <v>0.74698299999999995</v>
      </c>
      <c r="GO9" s="724">
        <f t="shared" si="65"/>
        <v>1.2944290000000001</v>
      </c>
      <c r="GP9" s="724">
        <f t="shared" si="66"/>
        <v>8.3882069999999995</v>
      </c>
      <c r="GQ9" s="661">
        <f t="shared" si="90"/>
        <v>4759525.2530038618</v>
      </c>
      <c r="GR9" s="530"/>
      <c r="GU9" s="222">
        <f t="shared" si="91"/>
        <v>6</v>
      </c>
      <c r="GV9" s="670">
        <f t="shared" si="67"/>
        <v>6</v>
      </c>
      <c r="GW9" s="660" t="s">
        <v>395</v>
      </c>
      <c r="GX9" s="663" t="s">
        <v>379</v>
      </c>
      <c r="GY9" s="671">
        <f t="shared" si="68"/>
        <v>399238.82319335989</v>
      </c>
      <c r="GZ9" s="661">
        <f t="shared" si="69"/>
        <v>4759525.2530038618</v>
      </c>
      <c r="HA9" s="724">
        <f t="shared" si="92"/>
        <v>8.3882069999999995</v>
      </c>
      <c r="HB9" s="650">
        <f t="shared" si="70"/>
        <v>399238.83043923764</v>
      </c>
      <c r="HC9" s="750">
        <f t="shared" si="71"/>
        <v>7.2458777576684952E-3</v>
      </c>
      <c r="HD9" s="549"/>
      <c r="HG9" s="549"/>
      <c r="HH9" s="549"/>
      <c r="HI9" s="549"/>
      <c r="HJ9" s="549"/>
      <c r="HK9" s="549"/>
      <c r="HL9" s="549"/>
      <c r="HM9" s="549"/>
      <c r="HP9" s="551">
        <f t="shared" si="123"/>
        <v>6</v>
      </c>
      <c r="HQ9" s="762">
        <f t="shared" si="72"/>
        <v>6</v>
      </c>
      <c r="HR9" s="660" t="s">
        <v>395</v>
      </c>
      <c r="HS9" s="661">
        <f t="shared" si="93"/>
        <v>4759525.2530038618</v>
      </c>
      <c r="HT9" s="757">
        <f t="shared" si="94"/>
        <v>8.3882069999999995</v>
      </c>
      <c r="HU9" s="757">
        <v>7.3521840000000003</v>
      </c>
      <c r="HV9" s="651">
        <f t="shared" si="95"/>
        <v>0.14091363872286111</v>
      </c>
      <c r="HW9" s="757">
        <f t="shared" si="96"/>
        <v>1.0360229999999993</v>
      </c>
      <c r="HX9" s="652">
        <v>10</v>
      </c>
      <c r="IO9" s="551">
        <v>6</v>
      </c>
      <c r="IP9" s="762">
        <v>6</v>
      </c>
      <c r="IQ9" s="660" t="s">
        <v>395</v>
      </c>
      <c r="IR9" s="772">
        <f t="shared" si="97"/>
        <v>399238.82319335989</v>
      </c>
      <c r="IS9" s="773">
        <f t="shared" si="97"/>
        <v>4759525.2530038618</v>
      </c>
      <c r="IT9" s="774">
        <f t="shared" si="97"/>
        <v>8.3882069999999995</v>
      </c>
      <c r="IU9" s="661">
        <f t="shared" si="98"/>
        <v>694732.71895439154</v>
      </c>
      <c r="IV9" s="661">
        <f t="shared" si="99"/>
        <v>4064792.53404947</v>
      </c>
      <c r="IW9" s="772">
        <f t="shared" si="100"/>
        <v>10420.990784315873</v>
      </c>
      <c r="IX9" s="772">
        <f t="shared" si="101"/>
        <v>388817.83240904403</v>
      </c>
      <c r="IY9" s="455">
        <f t="shared" si="102"/>
        <v>8.1692566325528126</v>
      </c>
      <c r="IZ9" s="555">
        <f t="shared" si="103"/>
        <v>9.6692566325528126</v>
      </c>
      <c r="JA9" s="772">
        <f t="shared" si="104"/>
        <v>399238.82319335989</v>
      </c>
      <c r="JB9" s="778">
        <f t="shared" si="105"/>
        <v>0.21895036744718688</v>
      </c>
      <c r="JF9" s="551">
        <f t="shared" si="124"/>
        <v>6</v>
      </c>
      <c r="JG9" s="762">
        <f t="shared" si="73"/>
        <v>6</v>
      </c>
      <c r="JH9" s="660" t="s">
        <v>395</v>
      </c>
      <c r="JI9" s="661">
        <f t="shared" si="106"/>
        <v>4759525.2530038618</v>
      </c>
      <c r="JJ9" s="757">
        <f t="shared" si="107"/>
        <v>8.1692566325528126</v>
      </c>
      <c r="JK9" s="757">
        <v>7.129950632713701</v>
      </c>
      <c r="JL9" s="651">
        <f t="shared" si="127"/>
        <v>0.1457662266370483</v>
      </c>
      <c r="JM9" s="757">
        <f t="shared" si="109"/>
        <v>1.0393059998391116</v>
      </c>
      <c r="JN9" s="652">
        <v>10</v>
      </c>
      <c r="JS9" s="757">
        <v>8.1980025538460239</v>
      </c>
      <c r="JT9" s="757">
        <f t="shared" si="110"/>
        <v>-2.8745921293211296E-2</v>
      </c>
      <c r="JU9" s="1010">
        <v>4852924</v>
      </c>
      <c r="JV9" s="1010">
        <f t="shared" si="125"/>
        <v>93398.746996138245</v>
      </c>
      <c r="JW9" s="1069">
        <f t="shared" si="111"/>
        <v>-3.5064542983980151E-3</v>
      </c>
      <c r="JX9" s="997">
        <v>397842.8334562066</v>
      </c>
      <c r="JY9" s="997">
        <f t="shared" si="112"/>
        <v>388817.83240904397</v>
      </c>
      <c r="JZ9" s="516"/>
      <c r="KA9" s="516"/>
      <c r="KB9" s="516"/>
      <c r="KC9" s="516"/>
      <c r="KE9" s="516"/>
      <c r="KF9" s="516"/>
    </row>
    <row r="10" spans="1:292" ht="16.5" x14ac:dyDescent="0.3">
      <c r="A10" s="543">
        <v>7</v>
      </c>
      <c r="B10" s="645" t="s">
        <v>53</v>
      </c>
      <c r="C10" s="646">
        <f>'DCA 8 month Phase I'!MC20</f>
        <v>13195665.064952241</v>
      </c>
      <c r="D10" s="647">
        <f t="shared" si="0"/>
        <v>0.10169420189704255</v>
      </c>
      <c r="E10" s="986">
        <v>0.60022299213736274</v>
      </c>
      <c r="I10" s="543">
        <f t="shared" si="113"/>
        <v>7</v>
      </c>
      <c r="J10" s="654">
        <f t="shared" si="1"/>
        <v>7</v>
      </c>
      <c r="K10" s="655" t="s">
        <v>396</v>
      </c>
      <c r="L10" s="991">
        <v>39750326.726551756</v>
      </c>
      <c r="M10" s="657">
        <f t="shared" si="2"/>
        <v>1.8080983359920578E-2</v>
      </c>
      <c r="N10" s="656">
        <v>892</v>
      </c>
      <c r="O10" s="656">
        <f t="shared" si="75"/>
        <v>44563.146554430219</v>
      </c>
      <c r="P10" s="657">
        <f t="shared" si="3"/>
        <v>2.495427453728382E-2</v>
      </c>
      <c r="Q10" s="658" t="s">
        <v>379</v>
      </c>
      <c r="U10" s="545">
        <f t="shared" si="114"/>
        <v>7</v>
      </c>
      <c r="V10" s="669">
        <f t="shared" si="4"/>
        <v>7</v>
      </c>
      <c r="W10" s="655" t="s">
        <v>396</v>
      </c>
      <c r="X10" s="646">
        <f t="shared" si="76"/>
        <v>2465671.2732920335</v>
      </c>
      <c r="Y10" s="657">
        <f t="shared" si="5"/>
        <v>2.5469505189083384E-2</v>
      </c>
      <c r="AC10" s="545">
        <f t="shared" si="115"/>
        <v>7</v>
      </c>
      <c r="AD10" s="678">
        <v>7</v>
      </c>
      <c r="AE10" s="679" t="s">
        <v>396</v>
      </c>
      <c r="AF10" s="680">
        <v>4.88</v>
      </c>
      <c r="AP10" s="545">
        <f t="shared" si="78"/>
        <v>7</v>
      </c>
      <c r="AQ10" s="693">
        <f t="shared" si="6"/>
        <v>7</v>
      </c>
      <c r="AR10" s="655" t="s">
        <v>396</v>
      </c>
      <c r="AS10" s="655">
        <f t="shared" si="7"/>
        <v>4.88</v>
      </c>
      <c r="AT10" s="694">
        <f t="shared" si="79"/>
        <v>39750326.726551756</v>
      </c>
      <c r="AU10" s="694">
        <f t="shared" si="116"/>
        <v>53883.776229325718</v>
      </c>
      <c r="AV10" s="695">
        <f t="shared" si="8"/>
        <v>55541.995113237695</v>
      </c>
      <c r="AW10" s="696">
        <f t="shared" si="9"/>
        <v>21.592508896755891</v>
      </c>
      <c r="AX10" s="646">
        <f t="shared" si="126"/>
        <v>1199291.0236261571</v>
      </c>
      <c r="AY10" s="544">
        <f t="shared" si="80"/>
        <v>2.8453988499910522E-2</v>
      </c>
      <c r="AZ10" s="548">
        <f t="shared" si="10"/>
        <v>3.0170599999999999</v>
      </c>
      <c r="BK10" s="543">
        <f t="shared" si="117"/>
        <v>7</v>
      </c>
      <c r="BL10" s="658">
        <f t="shared" si="11"/>
        <v>7</v>
      </c>
      <c r="BM10" s="655" t="s">
        <v>396</v>
      </c>
      <c r="BN10" s="657">
        <f t="shared" si="81"/>
        <v>2.8453988499910522E-2</v>
      </c>
      <c r="BO10" s="646">
        <f t="shared" si="82"/>
        <v>272780.21827078087</v>
      </c>
      <c r="BP10" s="657">
        <f t="shared" si="83"/>
        <v>1.8080983359920578E-2</v>
      </c>
      <c r="BQ10" s="646">
        <f t="shared" si="84"/>
        <v>173337.19620660567</v>
      </c>
      <c r="BR10" s="708">
        <f t="shared" si="12"/>
        <v>446117.41447738651</v>
      </c>
      <c r="BS10" s="709">
        <f t="shared" si="13"/>
        <v>1.1222989999999999</v>
      </c>
      <c r="BV10" s="15"/>
      <c r="BW10" s="190"/>
      <c r="BX10" s="190"/>
      <c r="BY10" s="190"/>
      <c r="BZ10" s="190"/>
      <c r="CA10" s="190"/>
      <c r="CB10" s="190"/>
      <c r="CC10" s="190"/>
      <c r="CD10" s="190"/>
      <c r="CH10" s="543">
        <f t="shared" si="118"/>
        <v>7</v>
      </c>
      <c r="CI10" s="678">
        <f t="shared" si="15"/>
        <v>7</v>
      </c>
      <c r="CJ10" s="655" t="s">
        <v>396</v>
      </c>
      <c r="CK10" s="657">
        <f t="shared" si="16"/>
        <v>1.8080983359920578E-2</v>
      </c>
      <c r="CL10" s="646">
        <f t="shared" si="17"/>
        <v>105986.00128503173</v>
      </c>
      <c r="CM10" s="657">
        <f t="shared" si="18"/>
        <v>2.495427453728382E-2</v>
      </c>
      <c r="CN10" s="646">
        <f t="shared" si="19"/>
        <v>479420.97221879271</v>
      </c>
      <c r="CO10" s="646">
        <f t="shared" si="20"/>
        <v>585406.97350382444</v>
      </c>
      <c r="CP10" s="657">
        <f t="shared" si="21"/>
        <v>2.3347435078468034E-2</v>
      </c>
      <c r="CQ10" s="709">
        <f t="shared" si="22"/>
        <v>1.47271</v>
      </c>
      <c r="DC10" s="411"/>
      <c r="DD10" s="15"/>
      <c r="DG10" s="545">
        <f t="shared" si="119"/>
        <v>7</v>
      </c>
      <c r="DH10" s="739">
        <f t="shared" si="24"/>
        <v>7</v>
      </c>
      <c r="DI10" s="655" t="s">
        <v>396</v>
      </c>
      <c r="DJ10" s="657">
        <f t="shared" si="25"/>
        <v>2.3347435078468034E-2</v>
      </c>
      <c r="DK10" s="646">
        <f t="shared" si="85"/>
        <v>8794.8558599255393</v>
      </c>
      <c r="DL10" s="657">
        <f t="shared" si="26"/>
        <v>2.495427453728382E-2</v>
      </c>
      <c r="DM10" s="646">
        <f t="shared" si="27"/>
        <v>61091.445604698514</v>
      </c>
      <c r="DN10" s="657">
        <f t="shared" si="28"/>
        <v>1.8080983359920578E-2</v>
      </c>
      <c r="DO10" s="646">
        <f t="shared" si="29"/>
        <v>64166.951175853246</v>
      </c>
      <c r="DP10" s="646">
        <f t="shared" si="86"/>
        <v>134053.25264047729</v>
      </c>
      <c r="DQ10" s="657">
        <f t="shared" si="30"/>
        <v>2.103226907739357E-2</v>
      </c>
      <c r="DR10" s="709">
        <f t="shared" si="31"/>
        <v>0.33723799999999998</v>
      </c>
      <c r="DV10" s="545">
        <f t="shared" si="120"/>
        <v>7</v>
      </c>
      <c r="DW10" s="739">
        <f t="shared" si="32"/>
        <v>7</v>
      </c>
      <c r="DX10" s="655" t="s">
        <v>396</v>
      </c>
      <c r="DY10" s="657">
        <f t="shared" si="33"/>
        <v>2.495427453728382E-2</v>
      </c>
      <c r="DZ10" s="646">
        <f t="shared" si="34"/>
        <v>100802.60904418807</v>
      </c>
      <c r="EA10" s="709">
        <f t="shared" si="35"/>
        <v>0.25358900000000001</v>
      </c>
      <c r="EG10" s="16"/>
      <c r="EH10" s="16"/>
      <c r="EI10" s="16"/>
      <c r="EM10" s="545">
        <f t="shared" si="121"/>
        <v>7</v>
      </c>
      <c r="EN10" s="739">
        <f t="shared" si="36"/>
        <v>7</v>
      </c>
      <c r="EO10" s="655" t="s">
        <v>396</v>
      </c>
      <c r="EP10" s="657">
        <f t="shared" si="37"/>
        <v>2.5469505189083384E-2</v>
      </c>
      <c r="EQ10" s="646">
        <f t="shared" si="38"/>
        <v>200586.68001130151</v>
      </c>
      <c r="ER10" s="657">
        <f t="shared" si="39"/>
        <v>2.3347435078468034E-2</v>
      </c>
      <c r="ES10" s="646">
        <f t="shared" si="40"/>
        <v>23735.077206111975</v>
      </c>
      <c r="ET10" s="657">
        <f t="shared" si="41"/>
        <v>1.8080983359920578E-2</v>
      </c>
      <c r="EU10" s="646">
        <f t="shared" si="42"/>
        <v>77811.500376203971</v>
      </c>
      <c r="EV10" s="646">
        <f t="shared" si="43"/>
        <v>302133.25759361743</v>
      </c>
      <c r="EW10" s="657">
        <f t="shared" si="44"/>
        <v>2.2896402425072539E-2</v>
      </c>
      <c r="EX10" s="709">
        <f t="shared" si="45"/>
        <v>0.760077</v>
      </c>
      <c r="FH10" s="545">
        <f t="shared" si="122"/>
        <v>7</v>
      </c>
      <c r="FI10" s="669">
        <f t="shared" si="46"/>
        <v>7</v>
      </c>
      <c r="FJ10" s="655" t="s">
        <v>396</v>
      </c>
      <c r="FK10" s="657">
        <f t="shared" si="47"/>
        <v>2.5469505189083384E-2</v>
      </c>
      <c r="FL10" s="646">
        <f t="shared" si="48"/>
        <v>502873.90687210369</v>
      </c>
      <c r="FM10" s="709">
        <f t="shared" si="49"/>
        <v>1.2650809999999999</v>
      </c>
      <c r="FQ10" s="543">
        <v>7</v>
      </c>
      <c r="FR10" s="669">
        <v>7</v>
      </c>
      <c r="FS10" s="655" t="s">
        <v>396</v>
      </c>
      <c r="FT10" s="646">
        <f t="shared" si="50"/>
        <v>1199291.0236261571</v>
      </c>
      <c r="FU10" s="646">
        <f t="shared" si="51"/>
        <v>446117.41447738651</v>
      </c>
      <c r="FV10" s="646">
        <f t="shared" si="52"/>
        <v>585406.97350382444</v>
      </c>
      <c r="FW10" s="646">
        <f t="shared" si="88"/>
        <v>134053.25264047729</v>
      </c>
      <c r="FX10" s="646">
        <f t="shared" si="53"/>
        <v>100802.60904418807</v>
      </c>
      <c r="FY10" s="646">
        <f t="shared" si="54"/>
        <v>302133.25759361743</v>
      </c>
      <c r="FZ10" s="646">
        <f>VLOOKUP(FR10,$FI$4:$FL$27,$FZ$33,FALSE)</f>
        <v>502873.90687210369</v>
      </c>
      <c r="GA10" s="646">
        <f t="shared" si="56"/>
        <v>3270678.4377577547</v>
      </c>
      <c r="GB10" s="746">
        <f t="shared" si="57"/>
        <v>8.2280540000000002</v>
      </c>
      <c r="GF10" s="545">
        <f t="shared" si="89"/>
        <v>7</v>
      </c>
      <c r="GG10" s="669">
        <f t="shared" si="58"/>
        <v>7</v>
      </c>
      <c r="GH10" s="655" t="s">
        <v>396</v>
      </c>
      <c r="GI10" s="709">
        <f t="shared" si="59"/>
        <v>3.0170599999999999</v>
      </c>
      <c r="GJ10" s="709">
        <f t="shared" si="60"/>
        <v>1.1222989999999999</v>
      </c>
      <c r="GK10" s="709">
        <f t="shared" si="61"/>
        <v>1.47271</v>
      </c>
      <c r="GL10" s="709">
        <f t="shared" si="62"/>
        <v>0.33723799999999998</v>
      </c>
      <c r="GM10" s="709">
        <f t="shared" si="63"/>
        <v>0.25358900000000001</v>
      </c>
      <c r="GN10" s="709">
        <f t="shared" si="64"/>
        <v>0.760077</v>
      </c>
      <c r="GO10" s="709">
        <f t="shared" si="65"/>
        <v>1.2650809999999999</v>
      </c>
      <c r="GP10" s="709">
        <f t="shared" si="66"/>
        <v>8.2280540000000002</v>
      </c>
      <c r="GQ10" s="656">
        <f t="shared" si="90"/>
        <v>39750326.726551756</v>
      </c>
      <c r="GR10" s="530"/>
      <c r="GU10" s="543">
        <f t="shared" si="91"/>
        <v>7</v>
      </c>
      <c r="GV10" s="669">
        <f t="shared" si="67"/>
        <v>7</v>
      </c>
      <c r="GW10" s="655" t="s">
        <v>396</v>
      </c>
      <c r="GX10" s="658" t="s">
        <v>379</v>
      </c>
      <c r="GY10" s="646">
        <f t="shared" si="68"/>
        <v>3270678.4377577547</v>
      </c>
      <c r="GZ10" s="656">
        <f t="shared" si="69"/>
        <v>39750326.726551756</v>
      </c>
      <c r="HA10" s="709">
        <f t="shared" si="92"/>
        <v>8.2280540000000002</v>
      </c>
      <c r="HB10" s="646">
        <f t="shared" si="70"/>
        <v>3270678.3482371108</v>
      </c>
      <c r="HC10" s="749">
        <f t="shared" si="71"/>
        <v>-8.9520643930882215E-2</v>
      </c>
      <c r="HD10" s="549"/>
      <c r="HG10" s="549"/>
      <c r="HH10" s="549"/>
      <c r="HI10" s="549"/>
      <c r="HJ10" s="549"/>
      <c r="HK10" s="549"/>
      <c r="HL10" s="549"/>
      <c r="HM10" s="549"/>
      <c r="HP10" s="545">
        <f t="shared" si="123"/>
        <v>7</v>
      </c>
      <c r="HQ10" s="761">
        <f t="shared" si="72"/>
        <v>7</v>
      </c>
      <c r="HR10" s="655" t="s">
        <v>396</v>
      </c>
      <c r="HS10" s="656">
        <f t="shared" si="93"/>
        <v>39750326.726551756</v>
      </c>
      <c r="HT10" s="756">
        <f t="shared" si="94"/>
        <v>8.2280540000000002</v>
      </c>
      <c r="HU10" s="756">
        <v>7.2431219999999996</v>
      </c>
      <c r="HV10" s="647">
        <f t="shared" si="95"/>
        <v>0.13598169408164051</v>
      </c>
      <c r="HW10" s="756">
        <f t="shared" si="96"/>
        <v>0.98493200000000058</v>
      </c>
      <c r="HX10" s="648">
        <v>10</v>
      </c>
      <c r="IO10" s="545">
        <v>7</v>
      </c>
      <c r="IP10" s="761">
        <v>7</v>
      </c>
      <c r="IQ10" s="655" t="s">
        <v>396</v>
      </c>
      <c r="IR10" s="769">
        <f t="shared" si="97"/>
        <v>3270678.4377577547</v>
      </c>
      <c r="IS10" s="770">
        <f t="shared" si="97"/>
        <v>39750326.726551756</v>
      </c>
      <c r="IT10" s="771">
        <f t="shared" si="97"/>
        <v>8.2280540000000002</v>
      </c>
      <c r="IU10" s="656">
        <f t="shared" si="98"/>
        <v>5802228.3942360906</v>
      </c>
      <c r="IV10" s="656">
        <f t="shared" si="99"/>
        <v>33948098.332315668</v>
      </c>
      <c r="IW10" s="769">
        <f t="shared" si="100"/>
        <v>87033.425913541359</v>
      </c>
      <c r="IX10" s="769">
        <f t="shared" si="101"/>
        <v>3183645.0118442131</v>
      </c>
      <c r="IY10" s="550">
        <f t="shared" si="102"/>
        <v>8.0091040099996356</v>
      </c>
      <c r="IZ10" s="550">
        <f t="shared" si="103"/>
        <v>9.5091040099996356</v>
      </c>
      <c r="JA10" s="769">
        <f t="shared" si="104"/>
        <v>3270678.4377577556</v>
      </c>
      <c r="JB10" s="746">
        <f t="shared" si="105"/>
        <v>0.21894999000036464</v>
      </c>
      <c r="JF10" s="545">
        <f t="shared" si="124"/>
        <v>7</v>
      </c>
      <c r="JG10" s="761">
        <f t="shared" si="73"/>
        <v>7</v>
      </c>
      <c r="JH10" s="655" t="s">
        <v>396</v>
      </c>
      <c r="JI10" s="656">
        <f t="shared" si="106"/>
        <v>39750326.726551756</v>
      </c>
      <c r="JJ10" s="756">
        <f t="shared" si="107"/>
        <v>8.0091040099996356</v>
      </c>
      <c r="JK10" s="756">
        <v>7.0208891708348835</v>
      </c>
      <c r="JL10" s="647">
        <f t="shared" si="127"/>
        <v>0.14075351641638845</v>
      </c>
      <c r="JM10" s="756">
        <f t="shared" si="109"/>
        <v>0.98821483916475206</v>
      </c>
      <c r="JN10" s="648">
        <v>10</v>
      </c>
      <c r="JS10" s="756">
        <v>8.0410158653363322</v>
      </c>
      <c r="JT10" s="756">
        <f t="shared" si="110"/>
        <v>-3.1911855336696604E-2</v>
      </c>
      <c r="JU10" s="1009">
        <v>36519236</v>
      </c>
      <c r="JV10" s="1009">
        <f t="shared" si="125"/>
        <v>-3231090.7265517563</v>
      </c>
      <c r="JW10" s="1069">
        <f t="shared" si="111"/>
        <v>-3.968634793305662E-3</v>
      </c>
      <c r="JX10" s="997">
        <v>2936517.5606596172</v>
      </c>
      <c r="JY10" s="997">
        <f t="shared" si="112"/>
        <v>3183645.0118442136</v>
      </c>
      <c r="JZ10" s="516"/>
      <c r="KA10" s="516"/>
      <c r="KB10" s="516"/>
      <c r="KC10" s="516"/>
      <c r="KE10" s="516"/>
      <c r="KF10" s="516"/>
    </row>
    <row r="11" spans="1:292" ht="16.5" x14ac:dyDescent="0.3">
      <c r="A11" s="222">
        <v>8</v>
      </c>
      <c r="B11" s="649" t="s">
        <v>232</v>
      </c>
      <c r="C11" s="650">
        <f>'DCA 8 month Phase I'!MC23</f>
        <v>20079953.402397215</v>
      </c>
      <c r="D11" s="651">
        <f t="shared" si="0"/>
        <v>0.15474891377852498</v>
      </c>
      <c r="E11" s="986">
        <v>0.91362793435053979</v>
      </c>
      <c r="I11" s="222">
        <f t="shared" si="113"/>
        <v>8</v>
      </c>
      <c r="J11" s="659">
        <f t="shared" si="1"/>
        <v>8</v>
      </c>
      <c r="K11" s="660" t="s">
        <v>397</v>
      </c>
      <c r="L11" s="991">
        <v>24255867.325524699</v>
      </c>
      <c r="M11" s="662">
        <f t="shared" si="2"/>
        <v>1.1033115186957817E-2</v>
      </c>
      <c r="N11" s="661">
        <v>357</v>
      </c>
      <c r="O11" s="661">
        <f t="shared" si="75"/>
        <v>67943.605953850696</v>
      </c>
      <c r="P11" s="662">
        <f t="shared" si="3"/>
        <v>3.8046761216794428E-2</v>
      </c>
      <c r="Q11" s="663" t="s">
        <v>379</v>
      </c>
      <c r="U11" s="551">
        <f t="shared" si="114"/>
        <v>8</v>
      </c>
      <c r="V11" s="670">
        <f t="shared" si="4"/>
        <v>8</v>
      </c>
      <c r="W11" s="660" t="s">
        <v>397</v>
      </c>
      <c r="X11" s="671">
        <f t="shared" si="76"/>
        <v>2896473.047070025</v>
      </c>
      <c r="Y11" s="662">
        <f t="shared" si="5"/>
        <v>2.9919533922254792E-2</v>
      </c>
      <c r="AC11" s="551">
        <f t="shared" si="115"/>
        <v>8</v>
      </c>
      <c r="AD11" s="681">
        <v>8</v>
      </c>
      <c r="AE11" s="682" t="s">
        <v>397</v>
      </c>
      <c r="AF11" s="683">
        <v>9.2200000000000006</v>
      </c>
      <c r="AP11" s="551">
        <f t="shared" si="78"/>
        <v>8</v>
      </c>
      <c r="AQ11" s="697">
        <f t="shared" si="6"/>
        <v>8</v>
      </c>
      <c r="AR11" s="660" t="s">
        <v>397</v>
      </c>
      <c r="AS11" s="660">
        <f t="shared" si="7"/>
        <v>9.2200000000000006</v>
      </c>
      <c r="AT11" s="698">
        <f t="shared" si="79"/>
        <v>24255867.325524699</v>
      </c>
      <c r="AU11" s="698">
        <f t="shared" si="116"/>
        <v>62121.97131703826</v>
      </c>
      <c r="AV11" s="699">
        <f t="shared" si="8"/>
        <v>64033.712348426619</v>
      </c>
      <c r="AW11" s="700">
        <f t="shared" si="9"/>
        <v>21.592508896755891</v>
      </c>
      <c r="AX11" s="671">
        <f t="shared" si="126"/>
        <v>1382648.5035757094</v>
      </c>
      <c r="AY11" s="465">
        <f t="shared" si="80"/>
        <v>3.2804268392844546E-2</v>
      </c>
      <c r="AZ11" s="553">
        <f t="shared" si="10"/>
        <v>5.7002639999999998</v>
      </c>
      <c r="BK11" s="222">
        <f t="shared" si="117"/>
        <v>8</v>
      </c>
      <c r="BL11" s="663">
        <f t="shared" si="11"/>
        <v>8</v>
      </c>
      <c r="BM11" s="660" t="s">
        <v>397</v>
      </c>
      <c r="BN11" s="662">
        <f t="shared" si="81"/>
        <v>3.2804268392844546E-2</v>
      </c>
      <c r="BO11" s="671">
        <f t="shared" si="82"/>
        <v>314485.10258734209</v>
      </c>
      <c r="BP11" s="662">
        <f t="shared" si="83"/>
        <v>1.1033115186957817E-2</v>
      </c>
      <c r="BQ11" s="671">
        <f t="shared" si="84"/>
        <v>105771.30755902585</v>
      </c>
      <c r="BR11" s="710">
        <f t="shared" si="12"/>
        <v>420256.41014636797</v>
      </c>
      <c r="BS11" s="711">
        <f t="shared" si="13"/>
        <v>1.7325969999999999</v>
      </c>
      <c r="BV11" s="15"/>
      <c r="BW11" s="190"/>
      <c r="BX11" s="190"/>
      <c r="BY11" s="190"/>
      <c r="BZ11" s="190"/>
      <c r="CA11" s="190"/>
      <c r="CB11" s="190"/>
      <c r="CC11" s="190"/>
      <c r="CD11" s="190"/>
      <c r="CH11" s="222">
        <f t="shared" si="118"/>
        <v>8</v>
      </c>
      <c r="CI11" s="681">
        <f t="shared" si="15"/>
        <v>8</v>
      </c>
      <c r="CJ11" s="660" t="s">
        <v>397</v>
      </c>
      <c r="CK11" s="723">
        <f t="shared" si="16"/>
        <v>1.1033115186957817E-2</v>
      </c>
      <c r="CL11" s="650">
        <f t="shared" si="17"/>
        <v>64673.239121212857</v>
      </c>
      <c r="CM11" s="723">
        <f t="shared" si="18"/>
        <v>3.8046761216794428E-2</v>
      </c>
      <c r="CN11" s="650">
        <f t="shared" si="19"/>
        <v>730953.53764258313</v>
      </c>
      <c r="CO11" s="650">
        <f t="shared" si="20"/>
        <v>795626.77676379599</v>
      </c>
      <c r="CP11" s="723">
        <f t="shared" si="21"/>
        <v>3.173150535942864E-2</v>
      </c>
      <c r="CQ11" s="724">
        <f t="shared" si="22"/>
        <v>3.2801420000000001</v>
      </c>
      <c r="DC11" s="411"/>
      <c r="DD11" s="15"/>
      <c r="DG11" s="551">
        <f t="shared" si="119"/>
        <v>8</v>
      </c>
      <c r="DH11" s="677">
        <f t="shared" si="24"/>
        <v>8</v>
      </c>
      <c r="DI11" s="660" t="s">
        <v>397</v>
      </c>
      <c r="DJ11" s="723">
        <f t="shared" si="25"/>
        <v>3.173150535942864E-2</v>
      </c>
      <c r="DK11" s="650">
        <f t="shared" si="85"/>
        <v>11953.090989082701</v>
      </c>
      <c r="DL11" s="723">
        <f t="shared" si="26"/>
        <v>3.8046761216794428E-2</v>
      </c>
      <c r="DM11" s="650">
        <f t="shared" si="27"/>
        <v>93143.627150450702</v>
      </c>
      <c r="DN11" s="723">
        <f t="shared" si="28"/>
        <v>1.1033115186957817E-2</v>
      </c>
      <c r="DO11" s="650">
        <f t="shared" si="29"/>
        <v>39155.025444489816</v>
      </c>
      <c r="DP11" s="650">
        <f t="shared" si="86"/>
        <v>144251.74358402321</v>
      </c>
      <c r="DQ11" s="723">
        <f t="shared" si="30"/>
        <v>2.2632360097066834E-2</v>
      </c>
      <c r="DR11" s="724">
        <f t="shared" si="31"/>
        <v>0.59470900000000004</v>
      </c>
      <c r="DV11" s="551">
        <f t="shared" si="120"/>
        <v>8</v>
      </c>
      <c r="DW11" s="677">
        <f t="shared" si="32"/>
        <v>8</v>
      </c>
      <c r="DX11" s="660" t="s">
        <v>397</v>
      </c>
      <c r="DY11" s="723">
        <f t="shared" si="33"/>
        <v>3.8046761216794428E-2</v>
      </c>
      <c r="DZ11" s="650">
        <f t="shared" si="34"/>
        <v>153689.6130001283</v>
      </c>
      <c r="EA11" s="724">
        <f t="shared" si="35"/>
        <v>0.63361800000000001</v>
      </c>
      <c r="EG11" s="16"/>
      <c r="EH11" s="16"/>
      <c r="EI11" s="16"/>
      <c r="EM11" s="551">
        <f t="shared" si="121"/>
        <v>8</v>
      </c>
      <c r="EN11" s="677">
        <f t="shared" si="36"/>
        <v>8</v>
      </c>
      <c r="EO11" s="660" t="s">
        <v>397</v>
      </c>
      <c r="EP11" s="723">
        <f t="shared" si="37"/>
        <v>2.9919533922254792E-2</v>
      </c>
      <c r="EQ11" s="650">
        <f t="shared" si="38"/>
        <v>235633.15943502972</v>
      </c>
      <c r="ER11" s="723">
        <f t="shared" si="39"/>
        <v>3.173150535942864E-2</v>
      </c>
      <c r="ES11" s="650">
        <f t="shared" si="40"/>
        <v>32258.349880444915</v>
      </c>
      <c r="ET11" s="723">
        <f t="shared" si="41"/>
        <v>1.1033115186957817E-2</v>
      </c>
      <c r="EU11" s="650">
        <f t="shared" si="42"/>
        <v>47481.004181646509</v>
      </c>
      <c r="EV11" s="650">
        <f t="shared" si="43"/>
        <v>315372.51349712117</v>
      </c>
      <c r="EW11" s="723">
        <f t="shared" si="44"/>
        <v>2.389970584618371E-2</v>
      </c>
      <c r="EX11" s="724">
        <f t="shared" si="45"/>
        <v>1.3001910000000001</v>
      </c>
      <c r="FH11" s="551">
        <f t="shared" si="122"/>
        <v>8</v>
      </c>
      <c r="FI11" s="670">
        <f t="shared" si="46"/>
        <v>8</v>
      </c>
      <c r="FJ11" s="660" t="s">
        <v>397</v>
      </c>
      <c r="FK11" s="723">
        <f t="shared" si="47"/>
        <v>2.9919533922254792E-2</v>
      </c>
      <c r="FL11" s="650">
        <f t="shared" si="48"/>
        <v>590735.97243363562</v>
      </c>
      <c r="FM11" s="724">
        <f t="shared" si="49"/>
        <v>2.435435</v>
      </c>
      <c r="FQ11" s="222">
        <v>8</v>
      </c>
      <c r="FR11" s="670">
        <v>8</v>
      </c>
      <c r="FS11" s="660" t="s">
        <v>397</v>
      </c>
      <c r="FT11" s="650">
        <f t="shared" si="50"/>
        <v>1382648.5035757094</v>
      </c>
      <c r="FU11" s="650">
        <f t="shared" si="51"/>
        <v>420256.41014636797</v>
      </c>
      <c r="FV11" s="650">
        <f t="shared" si="52"/>
        <v>795626.77676379599</v>
      </c>
      <c r="FW11" s="650">
        <f t="shared" si="88"/>
        <v>144251.74358402321</v>
      </c>
      <c r="FX11" s="650">
        <f t="shared" si="53"/>
        <v>153689.6130001283</v>
      </c>
      <c r="FY11" s="650">
        <f t="shared" si="54"/>
        <v>315372.51349712117</v>
      </c>
      <c r="FZ11" s="650">
        <f t="shared" si="55"/>
        <v>590735.97243363562</v>
      </c>
      <c r="GA11" s="650">
        <f t="shared" si="56"/>
        <v>3802581.5330007817</v>
      </c>
      <c r="GB11" s="747">
        <f t="shared" si="57"/>
        <v>15.676956000000001</v>
      </c>
      <c r="GF11" s="551">
        <f t="shared" si="89"/>
        <v>8</v>
      </c>
      <c r="GG11" s="670">
        <f t="shared" si="58"/>
        <v>8</v>
      </c>
      <c r="GH11" s="660" t="s">
        <v>397</v>
      </c>
      <c r="GI11" s="724">
        <f t="shared" si="59"/>
        <v>5.7002639999999998</v>
      </c>
      <c r="GJ11" s="724">
        <f t="shared" si="60"/>
        <v>1.7325969999999999</v>
      </c>
      <c r="GK11" s="724">
        <f t="shared" si="61"/>
        <v>3.2801420000000001</v>
      </c>
      <c r="GL11" s="724">
        <f t="shared" si="62"/>
        <v>0.59470900000000004</v>
      </c>
      <c r="GM11" s="724">
        <f t="shared" si="63"/>
        <v>0.63361800000000001</v>
      </c>
      <c r="GN11" s="724">
        <f t="shared" si="64"/>
        <v>1.3001910000000001</v>
      </c>
      <c r="GO11" s="724">
        <f t="shared" si="65"/>
        <v>2.435435</v>
      </c>
      <c r="GP11" s="724">
        <f t="shared" si="66"/>
        <v>15.676956000000001</v>
      </c>
      <c r="GQ11" s="661">
        <f t="shared" si="90"/>
        <v>24255867.325524699</v>
      </c>
      <c r="GR11" s="530"/>
      <c r="GU11" s="222">
        <f t="shared" si="91"/>
        <v>8</v>
      </c>
      <c r="GV11" s="670">
        <f t="shared" si="67"/>
        <v>8</v>
      </c>
      <c r="GW11" s="660" t="s">
        <v>397</v>
      </c>
      <c r="GX11" s="663" t="s">
        <v>379</v>
      </c>
      <c r="GY11" s="671">
        <f t="shared" si="68"/>
        <v>3802581.5330007817</v>
      </c>
      <c r="GZ11" s="661">
        <f t="shared" si="69"/>
        <v>24255867.325524699</v>
      </c>
      <c r="HA11" s="724">
        <f t="shared" si="92"/>
        <v>15.676956000000001</v>
      </c>
      <c r="HB11" s="650">
        <f t="shared" si="70"/>
        <v>3802581.6480408842</v>
      </c>
      <c r="HC11" s="750">
        <f t="shared" si="71"/>
        <v>0.11504010250791907</v>
      </c>
      <c r="HD11" s="549"/>
      <c r="HG11" s="549"/>
      <c r="HH11" s="549"/>
      <c r="HI11" s="549"/>
      <c r="HJ11" s="549"/>
      <c r="HK11" s="549"/>
      <c r="HL11" s="549"/>
      <c r="HM11" s="549"/>
      <c r="HP11" s="551">
        <f t="shared" si="123"/>
        <v>8</v>
      </c>
      <c r="HQ11" s="762">
        <f t="shared" si="72"/>
        <v>8</v>
      </c>
      <c r="HR11" s="660" t="s">
        <v>397</v>
      </c>
      <c r="HS11" s="661">
        <f t="shared" si="93"/>
        <v>24255867.325524699</v>
      </c>
      <c r="HT11" s="757">
        <f t="shared" si="94"/>
        <v>15.676956000000001</v>
      </c>
      <c r="HU11" s="757">
        <v>13.854915</v>
      </c>
      <c r="HV11" s="651">
        <f t="shared" si="95"/>
        <v>0.13150863790936285</v>
      </c>
      <c r="HW11" s="757">
        <f t="shared" si="96"/>
        <v>1.8220410000000005</v>
      </c>
      <c r="HX11" s="652">
        <v>25</v>
      </c>
      <c r="IO11" s="551">
        <v>8</v>
      </c>
      <c r="IP11" s="762">
        <v>8</v>
      </c>
      <c r="IQ11" s="660" t="s">
        <v>397</v>
      </c>
      <c r="IR11" s="772">
        <f t="shared" si="97"/>
        <v>3802581.5330007817</v>
      </c>
      <c r="IS11" s="773">
        <f t="shared" si="97"/>
        <v>24255867.325524699</v>
      </c>
      <c r="IT11" s="774">
        <f t="shared" si="97"/>
        <v>15.676956000000001</v>
      </c>
      <c r="IU11" s="661">
        <f t="shared" si="98"/>
        <v>3540551.580648392</v>
      </c>
      <c r="IV11" s="661">
        <f t="shared" si="99"/>
        <v>20715315.744876307</v>
      </c>
      <c r="IW11" s="772">
        <f t="shared" si="100"/>
        <v>53108.27370972588</v>
      </c>
      <c r="IX11" s="772">
        <f t="shared" si="101"/>
        <v>3749473.2592910556</v>
      </c>
      <c r="IY11" s="455">
        <f t="shared" si="102"/>
        <v>15.458005310514897</v>
      </c>
      <c r="IZ11" s="555">
        <f t="shared" si="103"/>
        <v>16.958005310514899</v>
      </c>
      <c r="JA11" s="772">
        <f t="shared" si="104"/>
        <v>3802581.5330007817</v>
      </c>
      <c r="JB11" s="778">
        <f t="shared" si="105"/>
        <v>0.21895068948510321</v>
      </c>
      <c r="JF11" s="551">
        <f t="shared" si="124"/>
        <v>8</v>
      </c>
      <c r="JG11" s="762">
        <f t="shared" si="73"/>
        <v>8</v>
      </c>
      <c r="JH11" s="660" t="s">
        <v>397</v>
      </c>
      <c r="JI11" s="661">
        <f t="shared" si="106"/>
        <v>24255867.325524699</v>
      </c>
      <c r="JJ11" s="757">
        <f t="shared" si="107"/>
        <v>15.458005310514897</v>
      </c>
      <c r="JK11" s="757">
        <v>13.632681649993463</v>
      </c>
      <c r="JL11" s="651">
        <f t="shared" si="127"/>
        <v>0.1338932212593924</v>
      </c>
      <c r="JM11" s="757">
        <f t="shared" si="109"/>
        <v>1.825323660521434</v>
      </c>
      <c r="JN11" s="652">
        <v>25</v>
      </c>
      <c r="JS11" s="757">
        <v>15.521286813601382</v>
      </c>
      <c r="JT11" s="757">
        <f t="shared" si="110"/>
        <v>-6.3281503086484392E-2</v>
      </c>
      <c r="JU11" s="1010">
        <v>24199719</v>
      </c>
      <c r="JV11" s="1010">
        <f t="shared" si="125"/>
        <v>-56148.325524698943</v>
      </c>
      <c r="JW11" s="1069">
        <f t="shared" si="111"/>
        <v>-4.077078392174964E-3</v>
      </c>
      <c r="JX11" s="997">
        <v>3756107.7940755878</v>
      </c>
      <c r="JY11" s="997">
        <f t="shared" si="112"/>
        <v>3749473.2592910556</v>
      </c>
      <c r="JZ11" s="516"/>
      <c r="KA11" s="516"/>
      <c r="KB11" s="516"/>
      <c r="KC11" s="516"/>
      <c r="KE11" s="516"/>
      <c r="KF11" s="516"/>
    </row>
    <row r="12" spans="1:292" ht="16.5" x14ac:dyDescent="0.3">
      <c r="A12" s="543">
        <v>9</v>
      </c>
      <c r="B12" s="645" t="s">
        <v>383</v>
      </c>
      <c r="C12" s="646">
        <f>-'DCA 8 month Phase I'!MC10</f>
        <v>-335796.49244503211</v>
      </c>
      <c r="D12" s="647">
        <f t="shared" si="0"/>
        <v>-2.5878617054113148E-3</v>
      </c>
      <c r="E12" s="986">
        <v>-1.5283646938919929E-2</v>
      </c>
      <c r="I12" s="543">
        <f t="shared" si="113"/>
        <v>9</v>
      </c>
      <c r="J12" s="654">
        <f t="shared" si="1"/>
        <v>9</v>
      </c>
      <c r="K12" s="655" t="s">
        <v>398</v>
      </c>
      <c r="L12" s="991">
        <v>119250551.964803</v>
      </c>
      <c r="M12" s="657">
        <f t="shared" si="2"/>
        <v>5.4242755300340888E-2</v>
      </c>
      <c r="N12" s="656">
        <v>855</v>
      </c>
      <c r="O12" s="656">
        <f t="shared" si="75"/>
        <v>139474.32978339531</v>
      </c>
      <c r="P12" s="657">
        <f t="shared" si="3"/>
        <v>7.8102220902812311E-2</v>
      </c>
      <c r="Q12" s="658" t="s">
        <v>379</v>
      </c>
      <c r="U12" s="545">
        <f t="shared" si="114"/>
        <v>9</v>
      </c>
      <c r="V12" s="669">
        <f t="shared" si="4"/>
        <v>9</v>
      </c>
      <c r="W12" s="655" t="s">
        <v>398</v>
      </c>
      <c r="X12" s="646">
        <f t="shared" si="76"/>
        <v>8368039.8770566061</v>
      </c>
      <c r="Y12" s="657">
        <f t="shared" si="5"/>
        <v>8.6438868546572414E-2</v>
      </c>
      <c r="AC12" s="545">
        <f t="shared" si="115"/>
        <v>9</v>
      </c>
      <c r="AD12" s="678">
        <v>9</v>
      </c>
      <c r="AE12" s="679" t="s">
        <v>398</v>
      </c>
      <c r="AF12" s="680">
        <v>5.86</v>
      </c>
      <c r="AP12" s="545">
        <f t="shared" si="78"/>
        <v>9</v>
      </c>
      <c r="AQ12" s="693">
        <f t="shared" si="6"/>
        <v>9</v>
      </c>
      <c r="AR12" s="655" t="s">
        <v>398</v>
      </c>
      <c r="AS12" s="655">
        <f t="shared" si="7"/>
        <v>5.86</v>
      </c>
      <c r="AT12" s="694">
        <f t="shared" si="79"/>
        <v>119250551.964803</v>
      </c>
      <c r="AU12" s="694">
        <f t="shared" si="116"/>
        <v>194113.39847604043</v>
      </c>
      <c r="AV12" s="695">
        <f>AU12*$AL$5/$AU$28</f>
        <v>200087.04259488225</v>
      </c>
      <c r="AW12" s="696">
        <f t="shared" si="9"/>
        <v>21.592508896755891</v>
      </c>
      <c r="AX12" s="646">
        <f t="shared" si="126"/>
        <v>4320381.2473555701</v>
      </c>
      <c r="AY12" s="544">
        <f t="shared" si="80"/>
        <v>0.10250395934407065</v>
      </c>
      <c r="AZ12" s="548">
        <f t="shared" si="10"/>
        <v>3.6229439999999999</v>
      </c>
      <c r="BK12" s="543">
        <f t="shared" si="117"/>
        <v>9</v>
      </c>
      <c r="BL12" s="658">
        <f t="shared" si="11"/>
        <v>9</v>
      </c>
      <c r="BM12" s="655" t="s">
        <v>398</v>
      </c>
      <c r="BN12" s="657">
        <f t="shared" si="81"/>
        <v>0.10250395934407065</v>
      </c>
      <c r="BO12" s="646">
        <f t="shared" si="82"/>
        <v>982676.02812810463</v>
      </c>
      <c r="BP12" s="657">
        <f t="shared" si="83"/>
        <v>5.4242755300340888E-2</v>
      </c>
      <c r="BQ12" s="646">
        <f t="shared" si="84"/>
        <v>520009.72132543288</v>
      </c>
      <c r="BR12" s="708">
        <f t="shared" si="12"/>
        <v>1502685.7494535376</v>
      </c>
      <c r="BS12" s="709">
        <f t="shared" si="13"/>
        <v>1.260108</v>
      </c>
      <c r="BV12" s="15"/>
      <c r="BW12" s="190"/>
      <c r="BX12" s="190"/>
      <c r="BY12" s="190"/>
      <c r="BZ12" s="190"/>
      <c r="CA12" s="190"/>
      <c r="CB12" s="190"/>
      <c r="CC12" s="190"/>
      <c r="CD12" s="190"/>
      <c r="CH12" s="543">
        <f t="shared" si="118"/>
        <v>9</v>
      </c>
      <c r="CI12" s="678">
        <f t="shared" si="15"/>
        <v>9</v>
      </c>
      <c r="CJ12" s="655" t="s">
        <v>398</v>
      </c>
      <c r="CK12" s="657">
        <f t="shared" si="16"/>
        <v>5.4242755300340888E-2</v>
      </c>
      <c r="CL12" s="646">
        <f t="shared" si="17"/>
        <v>317956.86210901104</v>
      </c>
      <c r="CM12" s="657">
        <f t="shared" si="18"/>
        <v>7.8102220902812311E-2</v>
      </c>
      <c r="CN12" s="646">
        <f t="shared" si="19"/>
        <v>1500498.1459881309</v>
      </c>
      <c r="CO12" s="646">
        <f t="shared" si="20"/>
        <v>1818455.008097142</v>
      </c>
      <c r="CP12" s="657">
        <f t="shared" si="21"/>
        <v>7.2524350009960589E-2</v>
      </c>
      <c r="CQ12" s="709">
        <f t="shared" si="22"/>
        <v>1.5249029999999999</v>
      </c>
      <c r="DD12" s="15"/>
      <c r="DG12" s="545">
        <f t="shared" si="119"/>
        <v>9</v>
      </c>
      <c r="DH12" s="739">
        <f t="shared" si="24"/>
        <v>9</v>
      </c>
      <c r="DI12" s="655" t="s">
        <v>398</v>
      </c>
      <c r="DJ12" s="657">
        <f t="shared" si="25"/>
        <v>7.2524350009960589E-2</v>
      </c>
      <c r="DK12" s="646">
        <f t="shared" si="85"/>
        <v>27319.540777335154</v>
      </c>
      <c r="DL12" s="657">
        <f t="shared" si="26"/>
        <v>7.8102220902812311E-2</v>
      </c>
      <c r="DM12" s="646">
        <f t="shared" si="27"/>
        <v>191204.82035097672</v>
      </c>
      <c r="DN12" s="657">
        <f t="shared" si="28"/>
        <v>5.4242755300340888E-2</v>
      </c>
      <c r="DO12" s="646">
        <f t="shared" si="29"/>
        <v>192500.16228188251</v>
      </c>
      <c r="DP12" s="646">
        <f t="shared" si="86"/>
        <v>411024.52341019438</v>
      </c>
      <c r="DQ12" s="657">
        <f t="shared" si="30"/>
        <v>6.448764355576983E-2</v>
      </c>
      <c r="DR12" s="709">
        <f t="shared" si="31"/>
        <v>0.34467300000000001</v>
      </c>
      <c r="DV12" s="545">
        <f t="shared" si="120"/>
        <v>9</v>
      </c>
      <c r="DW12" s="739">
        <f t="shared" si="32"/>
        <v>9</v>
      </c>
      <c r="DX12" s="655" t="s">
        <v>398</v>
      </c>
      <c r="DY12" s="657">
        <f t="shared" si="33"/>
        <v>7.8102220902812311E-2</v>
      </c>
      <c r="DZ12" s="646">
        <f t="shared" si="34"/>
        <v>315493.34874016093</v>
      </c>
      <c r="EA12" s="709">
        <f t="shared" si="35"/>
        <v>0.26456299999999999</v>
      </c>
      <c r="EM12" s="545">
        <f t="shared" si="121"/>
        <v>9</v>
      </c>
      <c r="EN12" s="739">
        <f t="shared" si="36"/>
        <v>9</v>
      </c>
      <c r="EO12" s="655" t="s">
        <v>398</v>
      </c>
      <c r="EP12" s="657">
        <f t="shared" si="37"/>
        <v>8.6438868546572414E-2</v>
      </c>
      <c r="EQ12" s="646">
        <f t="shared" si="38"/>
        <v>680754.71183954575</v>
      </c>
      <c r="ER12" s="657">
        <f t="shared" si="39"/>
        <v>7.2524350009960589E-2</v>
      </c>
      <c r="ES12" s="646">
        <f t="shared" si="40"/>
        <v>73728.486278007549</v>
      </c>
      <c r="ET12" s="657">
        <f t="shared" si="41"/>
        <v>5.4242755300340888E-2</v>
      </c>
      <c r="EU12" s="646">
        <f t="shared" si="42"/>
        <v>233433.66289549833</v>
      </c>
      <c r="EV12" s="646">
        <f t="shared" si="43"/>
        <v>987916.86101305159</v>
      </c>
      <c r="EW12" s="657">
        <f t="shared" si="44"/>
        <v>7.4866773000851955E-2</v>
      </c>
      <c r="EX12" s="709">
        <f t="shared" si="45"/>
        <v>0.82843800000000001</v>
      </c>
      <c r="FH12" s="545">
        <f t="shared" si="122"/>
        <v>9</v>
      </c>
      <c r="FI12" s="669">
        <f t="shared" si="46"/>
        <v>9</v>
      </c>
      <c r="FJ12" s="655" t="s">
        <v>398</v>
      </c>
      <c r="FK12" s="657">
        <f t="shared" si="47"/>
        <v>8.6438868546572414E-2</v>
      </c>
      <c r="FL12" s="646">
        <f t="shared" si="48"/>
        <v>1706662.583702256</v>
      </c>
      <c r="FM12" s="709">
        <f t="shared" si="49"/>
        <v>1.431157</v>
      </c>
      <c r="FQ12" s="543">
        <v>9</v>
      </c>
      <c r="FR12" s="669">
        <v>9</v>
      </c>
      <c r="FS12" s="655" t="s">
        <v>398</v>
      </c>
      <c r="FT12" s="646">
        <f t="shared" si="50"/>
        <v>4320381.2473555701</v>
      </c>
      <c r="FU12" s="646">
        <f t="shared" si="51"/>
        <v>1502685.7494535376</v>
      </c>
      <c r="FV12" s="646">
        <f t="shared" si="52"/>
        <v>1818455.008097142</v>
      </c>
      <c r="FW12" s="646">
        <f t="shared" si="88"/>
        <v>411024.52341019438</v>
      </c>
      <c r="FX12" s="646">
        <f t="shared" si="53"/>
        <v>315493.34874016093</v>
      </c>
      <c r="FY12" s="646">
        <f t="shared" si="54"/>
        <v>987916.86101305159</v>
      </c>
      <c r="FZ12" s="646">
        <f t="shared" si="55"/>
        <v>1706662.583702256</v>
      </c>
      <c r="GA12" s="646">
        <f t="shared" si="56"/>
        <v>11062619.321771912</v>
      </c>
      <c r="GB12" s="746">
        <f t="shared" si="57"/>
        <v>9.2767870000000006</v>
      </c>
      <c r="GF12" s="545">
        <f t="shared" si="89"/>
        <v>9</v>
      </c>
      <c r="GG12" s="669">
        <f t="shared" si="58"/>
        <v>9</v>
      </c>
      <c r="GH12" s="655" t="s">
        <v>398</v>
      </c>
      <c r="GI12" s="709">
        <f t="shared" si="59"/>
        <v>3.6229439999999999</v>
      </c>
      <c r="GJ12" s="709">
        <f t="shared" si="60"/>
        <v>1.260108</v>
      </c>
      <c r="GK12" s="709">
        <f t="shared" si="61"/>
        <v>1.5249029999999999</v>
      </c>
      <c r="GL12" s="709">
        <f t="shared" si="62"/>
        <v>0.34467300000000001</v>
      </c>
      <c r="GM12" s="709">
        <f t="shared" si="63"/>
        <v>0.26456299999999999</v>
      </c>
      <c r="GN12" s="709">
        <f t="shared" si="64"/>
        <v>0.82843800000000001</v>
      </c>
      <c r="GO12" s="709">
        <f t="shared" si="65"/>
        <v>1.431157</v>
      </c>
      <c r="GP12" s="709">
        <f t="shared" si="66"/>
        <v>9.2767870000000006</v>
      </c>
      <c r="GQ12" s="656">
        <f t="shared" si="90"/>
        <v>119250551.964803</v>
      </c>
      <c r="GR12" s="530"/>
      <c r="GU12" s="543">
        <f t="shared" si="91"/>
        <v>9</v>
      </c>
      <c r="GV12" s="669">
        <f t="shared" si="67"/>
        <v>9</v>
      </c>
      <c r="GW12" s="655" t="s">
        <v>398</v>
      </c>
      <c r="GX12" s="658" t="s">
        <v>379</v>
      </c>
      <c r="GY12" s="646">
        <f t="shared" si="68"/>
        <v>11062619.321771912</v>
      </c>
      <c r="GZ12" s="656">
        <f t="shared" si="69"/>
        <v>119250551.964803</v>
      </c>
      <c r="HA12" s="709">
        <f t="shared" si="92"/>
        <v>9.2767870000000006</v>
      </c>
      <c r="HB12" s="646">
        <f t="shared" si="70"/>
        <v>11062619.70209909</v>
      </c>
      <c r="HC12" s="749">
        <f t="shared" si="71"/>
        <v>0.38032717816531658</v>
      </c>
      <c r="HD12" s="549"/>
      <c r="HG12" s="549"/>
      <c r="HH12" s="549"/>
      <c r="HI12" s="549"/>
      <c r="HJ12" s="549"/>
      <c r="HK12" s="549"/>
      <c r="HL12" s="549"/>
      <c r="HM12" s="549"/>
      <c r="HP12" s="545">
        <f t="shared" si="123"/>
        <v>9</v>
      </c>
      <c r="HQ12" s="761">
        <f t="shared" si="72"/>
        <v>9</v>
      </c>
      <c r="HR12" s="655" t="s">
        <v>398</v>
      </c>
      <c r="HS12" s="656">
        <f t="shared" si="93"/>
        <v>119250551.964803</v>
      </c>
      <c r="HT12" s="756">
        <f t="shared" si="94"/>
        <v>9.2767870000000006</v>
      </c>
      <c r="HU12" s="756">
        <v>8.1251270000000009</v>
      </c>
      <c r="HV12" s="647">
        <f t="shared" si="95"/>
        <v>0.14174055371688343</v>
      </c>
      <c r="HW12" s="756">
        <f t="shared" si="96"/>
        <v>1.1516599999999997</v>
      </c>
      <c r="HX12" s="648">
        <v>10</v>
      </c>
      <c r="IO12" s="545">
        <v>9</v>
      </c>
      <c r="IP12" s="761">
        <v>9</v>
      </c>
      <c r="IQ12" s="655" t="s">
        <v>398</v>
      </c>
      <c r="IR12" s="769">
        <f t="shared" si="97"/>
        <v>11062619.321771912</v>
      </c>
      <c r="IS12" s="770">
        <f t="shared" si="97"/>
        <v>119250551.964803</v>
      </c>
      <c r="IT12" s="771">
        <f t="shared" si="97"/>
        <v>9.2767870000000006</v>
      </c>
      <c r="IU12" s="656">
        <f t="shared" si="98"/>
        <v>17406622.677552231</v>
      </c>
      <c r="IV12" s="656">
        <f t="shared" si="99"/>
        <v>101843929.28725076</v>
      </c>
      <c r="IW12" s="769">
        <f t="shared" si="100"/>
        <v>261099.34016328346</v>
      </c>
      <c r="IX12" s="769">
        <f t="shared" si="101"/>
        <v>10801519.981608629</v>
      </c>
      <c r="IY12" s="550">
        <f t="shared" si="102"/>
        <v>9.0578364658611541</v>
      </c>
      <c r="IZ12" s="550">
        <f t="shared" si="103"/>
        <v>10.557836465861154</v>
      </c>
      <c r="JA12" s="769">
        <f t="shared" si="104"/>
        <v>11062619.321771914</v>
      </c>
      <c r="JB12" s="746">
        <f t="shared" si="105"/>
        <v>0.21895053413884646</v>
      </c>
      <c r="JF12" s="545">
        <f t="shared" si="124"/>
        <v>9</v>
      </c>
      <c r="JG12" s="761">
        <f t="shared" si="73"/>
        <v>9</v>
      </c>
      <c r="JH12" s="655" t="s">
        <v>398</v>
      </c>
      <c r="JI12" s="656">
        <f t="shared" si="106"/>
        <v>119250551.964803</v>
      </c>
      <c r="JJ12" s="756">
        <f t="shared" si="107"/>
        <v>9.0578364658611541</v>
      </c>
      <c r="JK12" s="756">
        <v>7.902894267014676</v>
      </c>
      <c r="JL12" s="647">
        <f t="shared" si="127"/>
        <v>0.14614167415436752</v>
      </c>
      <c r="JM12" s="756">
        <f t="shared" si="109"/>
        <v>1.1549421988464781</v>
      </c>
      <c r="JN12" s="648">
        <v>10</v>
      </c>
      <c r="JS12" s="756">
        <v>9.0929707915554143</v>
      </c>
      <c r="JT12" s="756">
        <f t="shared" si="110"/>
        <v>-3.5134325694260227E-2</v>
      </c>
      <c r="JU12" s="1009">
        <v>119687775</v>
      </c>
      <c r="JV12" s="1009">
        <f t="shared" si="125"/>
        <v>437223.03519700468</v>
      </c>
      <c r="JW12" s="1069">
        <f t="shared" si="111"/>
        <v>-3.8638995439080545E-3</v>
      </c>
      <c r="JX12" s="997">
        <v>10883174.421812562</v>
      </c>
      <c r="JY12" s="997">
        <f t="shared" si="112"/>
        <v>10801519.981608631</v>
      </c>
      <c r="JZ12" s="516"/>
      <c r="KA12" s="516"/>
      <c r="KB12" s="516"/>
      <c r="KC12" s="516"/>
      <c r="KE12" s="516"/>
      <c r="KF12" s="516"/>
    </row>
    <row r="13" spans="1:292" ht="20.25" customHeight="1" x14ac:dyDescent="0.3">
      <c r="A13" s="579">
        <v>10</v>
      </c>
      <c r="B13" s="786" t="s">
        <v>283</v>
      </c>
      <c r="C13" s="787">
        <f>SUM(C4:C12)</f>
        <v>129758283.35141294</v>
      </c>
      <c r="D13" s="788">
        <f>SUM(D4:D12)</f>
        <v>1</v>
      </c>
      <c r="E13" s="789">
        <f>SUM(E4:E12)</f>
        <v>5.9055510012352554</v>
      </c>
      <c r="I13" s="222">
        <f t="shared" si="113"/>
        <v>10</v>
      </c>
      <c r="J13" s="659">
        <f t="shared" si="1"/>
        <v>10</v>
      </c>
      <c r="K13" s="660" t="s">
        <v>399</v>
      </c>
      <c r="L13" s="991">
        <v>4796737.4631210761</v>
      </c>
      <c r="M13" s="662">
        <f t="shared" si="2"/>
        <v>2.1818620724610941E-3</v>
      </c>
      <c r="N13" s="661">
        <v>351</v>
      </c>
      <c r="O13" s="661">
        <f t="shared" si="75"/>
        <v>13665.918698350644</v>
      </c>
      <c r="P13" s="662">
        <f t="shared" si="3"/>
        <v>7.6525809636514485E-3</v>
      </c>
      <c r="Q13" s="663" t="s">
        <v>379</v>
      </c>
      <c r="U13" s="551">
        <f t="shared" si="114"/>
        <v>10</v>
      </c>
      <c r="V13" s="670">
        <f t="shared" si="4"/>
        <v>10</v>
      </c>
      <c r="W13" s="660" t="s">
        <v>399</v>
      </c>
      <c r="X13" s="671">
        <f t="shared" si="76"/>
        <v>672235.54673321662</v>
      </c>
      <c r="Y13" s="662">
        <f t="shared" si="5"/>
        <v>6.943953531546092E-3</v>
      </c>
      <c r="AC13" s="551">
        <f t="shared" si="115"/>
        <v>10</v>
      </c>
      <c r="AD13" s="681">
        <v>10</v>
      </c>
      <c r="AE13" s="682" t="s">
        <v>399</v>
      </c>
      <c r="AF13" s="683">
        <v>11.86</v>
      </c>
      <c r="AP13" s="551">
        <f t="shared" si="78"/>
        <v>10</v>
      </c>
      <c r="AQ13" s="697">
        <f t="shared" si="6"/>
        <v>10</v>
      </c>
      <c r="AR13" s="660" t="s">
        <v>399</v>
      </c>
      <c r="AS13" s="660">
        <f t="shared" si="7"/>
        <v>11.86</v>
      </c>
      <c r="AT13" s="698">
        <f t="shared" si="79"/>
        <v>4796737.4631210761</v>
      </c>
      <c r="AU13" s="698">
        <f t="shared" si="116"/>
        <v>15802.585086837767</v>
      </c>
      <c r="AV13" s="699">
        <f t="shared" si="8"/>
        <v>16288.893709568607</v>
      </c>
      <c r="AW13" s="700">
        <f t="shared" si="9"/>
        <v>21.592508896755891</v>
      </c>
      <c r="AX13" s="671">
        <f t="shared" si="126"/>
        <v>351718.08234217123</v>
      </c>
      <c r="AY13" s="465">
        <f t="shared" si="80"/>
        <v>8.3447487499033832E-3</v>
      </c>
      <c r="AZ13" s="553">
        <f t="shared" si="10"/>
        <v>7.3324439999999997</v>
      </c>
      <c r="BK13" s="222">
        <f t="shared" si="117"/>
        <v>10</v>
      </c>
      <c r="BL13" s="663">
        <f t="shared" si="11"/>
        <v>10</v>
      </c>
      <c r="BM13" s="660" t="s">
        <v>399</v>
      </c>
      <c r="BN13" s="662">
        <f t="shared" si="81"/>
        <v>8.3447487499033832E-3</v>
      </c>
      <c r="BO13" s="671">
        <f t="shared" si="82"/>
        <v>79998.710388901323</v>
      </c>
      <c r="BP13" s="662">
        <f t="shared" si="83"/>
        <v>2.1818620724610941E-3</v>
      </c>
      <c r="BQ13" s="671">
        <f t="shared" si="84"/>
        <v>20916.885250183717</v>
      </c>
      <c r="BR13" s="710">
        <f t="shared" si="12"/>
        <v>100915.59563908505</v>
      </c>
      <c r="BS13" s="711">
        <f t="shared" si="13"/>
        <v>2.1038380000000001</v>
      </c>
      <c r="BV13" s="15"/>
      <c r="BW13" s="190"/>
      <c r="BX13" s="190"/>
      <c r="BY13" s="190"/>
      <c r="BZ13" s="190"/>
      <c r="CA13" s="190"/>
      <c r="CB13" s="190"/>
      <c r="CC13" s="190"/>
      <c r="CD13" s="190"/>
      <c r="CH13" s="222">
        <f t="shared" si="118"/>
        <v>10</v>
      </c>
      <c r="CI13" s="681">
        <f t="shared" si="15"/>
        <v>10</v>
      </c>
      <c r="CJ13" s="660" t="s">
        <v>399</v>
      </c>
      <c r="CK13" s="723">
        <f t="shared" si="16"/>
        <v>2.1818620724610941E-3</v>
      </c>
      <c r="CL13" s="650">
        <f t="shared" si="17"/>
        <v>12789.505515956587</v>
      </c>
      <c r="CM13" s="723">
        <f t="shared" si="18"/>
        <v>7.6525809636514485E-3</v>
      </c>
      <c r="CN13" s="650">
        <f t="shared" si="19"/>
        <v>147021.21674967112</v>
      </c>
      <c r="CO13" s="650">
        <f t="shared" si="20"/>
        <v>159810.7222656277</v>
      </c>
      <c r="CP13" s="723">
        <f t="shared" si="21"/>
        <v>6.3736351492496412E-3</v>
      </c>
      <c r="CQ13" s="724">
        <f t="shared" si="22"/>
        <v>3.331655</v>
      </c>
      <c r="DC13" s="198"/>
      <c r="DD13" s="15"/>
      <c r="DG13" s="551">
        <f t="shared" si="119"/>
        <v>10</v>
      </c>
      <c r="DH13" s="677">
        <f t="shared" si="24"/>
        <v>10</v>
      </c>
      <c r="DI13" s="660" t="s">
        <v>399</v>
      </c>
      <c r="DJ13" s="723">
        <f t="shared" si="25"/>
        <v>6.3736351492496412E-3</v>
      </c>
      <c r="DK13" s="650">
        <f t="shared" si="85"/>
        <v>2400.914800834033</v>
      </c>
      <c r="DL13" s="723">
        <f t="shared" si="26"/>
        <v>7.6525809636514485E-3</v>
      </c>
      <c r="DM13" s="650">
        <f t="shared" si="27"/>
        <v>18734.555195261961</v>
      </c>
      <c r="DN13" s="723">
        <f t="shared" si="28"/>
        <v>2.1818620724610941E-3</v>
      </c>
      <c r="DO13" s="650">
        <f t="shared" si="29"/>
        <v>7743.1317915151267</v>
      </c>
      <c r="DP13" s="650">
        <f t="shared" si="86"/>
        <v>28878.601787611122</v>
      </c>
      <c r="DQ13" s="723">
        <f t="shared" si="30"/>
        <v>4.5309047815863092E-3</v>
      </c>
      <c r="DR13" s="724">
        <f t="shared" si="31"/>
        <v>0.602047</v>
      </c>
      <c r="DV13" s="551">
        <f t="shared" si="120"/>
        <v>10</v>
      </c>
      <c r="DW13" s="677">
        <f t="shared" si="32"/>
        <v>10</v>
      </c>
      <c r="DX13" s="660" t="s">
        <v>399</v>
      </c>
      <c r="DY13" s="723">
        <f t="shared" si="33"/>
        <v>7.6525809636514485E-3</v>
      </c>
      <c r="DZ13" s="650">
        <f t="shared" si="34"/>
        <v>30912.544698721464</v>
      </c>
      <c r="EA13" s="724">
        <f t="shared" si="35"/>
        <v>0.64444900000000005</v>
      </c>
      <c r="EM13" s="551">
        <f t="shared" si="121"/>
        <v>10</v>
      </c>
      <c r="EN13" s="677">
        <f t="shared" si="36"/>
        <v>10</v>
      </c>
      <c r="EO13" s="660" t="s">
        <v>399</v>
      </c>
      <c r="EP13" s="723">
        <f t="shared" si="37"/>
        <v>6.943953531546092E-3</v>
      </c>
      <c r="EQ13" s="650">
        <f t="shared" si="38"/>
        <v>54687.540048582719</v>
      </c>
      <c r="ER13" s="723">
        <f t="shared" si="39"/>
        <v>6.3736351492496412E-3</v>
      </c>
      <c r="ES13" s="650">
        <f t="shared" si="40"/>
        <v>6479.4578865986323</v>
      </c>
      <c r="ET13" s="723">
        <f t="shared" si="41"/>
        <v>2.1818620724610941E-3</v>
      </c>
      <c r="EU13" s="650">
        <f t="shared" si="42"/>
        <v>9389.6420395177756</v>
      </c>
      <c r="EV13" s="650">
        <f t="shared" si="43"/>
        <v>70556.639974699123</v>
      </c>
      <c r="EW13" s="723">
        <f t="shared" si="44"/>
        <v>5.3469559607190967E-3</v>
      </c>
      <c r="EX13" s="724">
        <f t="shared" si="45"/>
        <v>1.4709300000000001</v>
      </c>
      <c r="FH13" s="551">
        <f t="shared" si="122"/>
        <v>10</v>
      </c>
      <c r="FI13" s="670">
        <f t="shared" si="46"/>
        <v>10</v>
      </c>
      <c r="FJ13" s="660" t="s">
        <v>399</v>
      </c>
      <c r="FK13" s="723">
        <f t="shared" si="47"/>
        <v>6.943953531546092E-3</v>
      </c>
      <c r="FL13" s="650">
        <f t="shared" si="48"/>
        <v>137102.50810226263</v>
      </c>
      <c r="FM13" s="724">
        <f t="shared" si="49"/>
        <v>2.8582450000000001</v>
      </c>
      <c r="FQ13" s="222">
        <f t="shared" si="87"/>
        <v>10</v>
      </c>
      <c r="FR13" s="670">
        <v>10</v>
      </c>
      <c r="FS13" s="660" t="s">
        <v>399</v>
      </c>
      <c r="FT13" s="650">
        <f t="shared" si="50"/>
        <v>351718.08234217123</v>
      </c>
      <c r="FU13" s="650">
        <f t="shared" si="51"/>
        <v>100915.59563908505</v>
      </c>
      <c r="FV13" s="650">
        <f t="shared" si="52"/>
        <v>159810.7222656277</v>
      </c>
      <c r="FW13" s="650">
        <f t="shared" si="88"/>
        <v>28878.601787611122</v>
      </c>
      <c r="FX13" s="650">
        <f t="shared" si="53"/>
        <v>30912.544698721464</v>
      </c>
      <c r="FY13" s="650">
        <f t="shared" si="54"/>
        <v>70556.639974699123</v>
      </c>
      <c r="FZ13" s="650">
        <f t="shared" si="55"/>
        <v>137102.50810226263</v>
      </c>
      <c r="GA13" s="650">
        <f t="shared" si="56"/>
        <v>879894.69481017836</v>
      </c>
      <c r="GB13" s="747">
        <f t="shared" si="57"/>
        <v>18.343608</v>
      </c>
      <c r="GF13" s="551">
        <f t="shared" si="89"/>
        <v>10</v>
      </c>
      <c r="GG13" s="670">
        <f t="shared" si="58"/>
        <v>10</v>
      </c>
      <c r="GH13" s="660" t="s">
        <v>399</v>
      </c>
      <c r="GI13" s="724">
        <f t="shared" si="59"/>
        <v>7.3324439999999997</v>
      </c>
      <c r="GJ13" s="724">
        <f t="shared" si="60"/>
        <v>2.1038380000000001</v>
      </c>
      <c r="GK13" s="724">
        <f t="shared" si="61"/>
        <v>3.331655</v>
      </c>
      <c r="GL13" s="724">
        <f t="shared" si="62"/>
        <v>0.602047</v>
      </c>
      <c r="GM13" s="724">
        <f t="shared" si="63"/>
        <v>0.64444900000000005</v>
      </c>
      <c r="GN13" s="724">
        <f t="shared" si="64"/>
        <v>1.4709300000000001</v>
      </c>
      <c r="GO13" s="724">
        <f t="shared" si="65"/>
        <v>2.8582450000000001</v>
      </c>
      <c r="GP13" s="724">
        <f t="shared" si="66"/>
        <v>18.343608</v>
      </c>
      <c r="GQ13" s="661">
        <f t="shared" si="90"/>
        <v>4796737.4631210761</v>
      </c>
      <c r="GR13" s="530"/>
      <c r="GU13" s="222">
        <f t="shared" si="91"/>
        <v>10</v>
      </c>
      <c r="GV13" s="670">
        <f t="shared" si="67"/>
        <v>10</v>
      </c>
      <c r="GW13" s="660" t="s">
        <v>399</v>
      </c>
      <c r="GX13" s="663" t="s">
        <v>379</v>
      </c>
      <c r="GY13" s="671">
        <f t="shared" si="68"/>
        <v>879894.69481017836</v>
      </c>
      <c r="GZ13" s="661">
        <f t="shared" si="69"/>
        <v>4796737.4631210761</v>
      </c>
      <c r="HA13" s="724">
        <f t="shared" si="92"/>
        <v>18.343608</v>
      </c>
      <c r="HB13" s="650">
        <f t="shared" si="70"/>
        <v>879894.71702407475</v>
      </c>
      <c r="HC13" s="750">
        <f t="shared" si="71"/>
        <v>2.2213896387256682E-2</v>
      </c>
      <c r="HD13" s="549"/>
      <c r="HG13" s="549"/>
      <c r="HH13" s="549"/>
      <c r="HI13" s="549"/>
      <c r="HJ13" s="549"/>
      <c r="HK13" s="549"/>
      <c r="HL13" s="549"/>
      <c r="HM13" s="549"/>
      <c r="HP13" s="551">
        <f t="shared" si="123"/>
        <v>10</v>
      </c>
      <c r="HQ13" s="762">
        <f t="shared" si="72"/>
        <v>10</v>
      </c>
      <c r="HR13" s="660" t="s">
        <v>399</v>
      </c>
      <c r="HS13" s="661">
        <f t="shared" si="93"/>
        <v>4796737.4631210761</v>
      </c>
      <c r="HT13" s="757">
        <f t="shared" si="94"/>
        <v>18.343608</v>
      </c>
      <c r="HU13" s="757">
        <v>16.197026000000001</v>
      </c>
      <c r="HV13" s="651">
        <f t="shared" si="95"/>
        <v>0.13252939150681109</v>
      </c>
      <c r="HW13" s="757">
        <f t="shared" si="96"/>
        <v>2.1465819999999987</v>
      </c>
      <c r="HX13" s="652">
        <v>25</v>
      </c>
      <c r="IO13" s="551">
        <v>10</v>
      </c>
      <c r="IP13" s="762">
        <v>10</v>
      </c>
      <c r="IQ13" s="660" t="s">
        <v>399</v>
      </c>
      <c r="IR13" s="772">
        <f t="shared" si="97"/>
        <v>879894.69481017836</v>
      </c>
      <c r="IS13" s="773">
        <f t="shared" si="97"/>
        <v>4796737.4631210761</v>
      </c>
      <c r="IT13" s="774">
        <f t="shared" si="97"/>
        <v>18.343608</v>
      </c>
      <c r="IU13" s="661">
        <f t="shared" si="98"/>
        <v>700164.46656340326</v>
      </c>
      <c r="IV13" s="661">
        <f t="shared" si="99"/>
        <v>4096572.996557673</v>
      </c>
      <c r="IW13" s="772">
        <f t="shared" si="100"/>
        <v>10502.466998451049</v>
      </c>
      <c r="IX13" s="772">
        <f t="shared" si="101"/>
        <v>869392.22781172732</v>
      </c>
      <c r="IY13" s="455">
        <f t="shared" si="102"/>
        <v>18.124657321688041</v>
      </c>
      <c r="IZ13" s="555">
        <f t="shared" si="103"/>
        <v>19.624657321688041</v>
      </c>
      <c r="JA13" s="772">
        <f t="shared" si="104"/>
        <v>879894.69481017848</v>
      </c>
      <c r="JB13" s="778">
        <f t="shared" si="105"/>
        <v>0.21895067831195902</v>
      </c>
      <c r="JF13" s="551">
        <f t="shared" si="124"/>
        <v>10</v>
      </c>
      <c r="JG13" s="762">
        <f t="shared" si="73"/>
        <v>10</v>
      </c>
      <c r="JH13" s="660" t="s">
        <v>399</v>
      </c>
      <c r="JI13" s="661">
        <f t="shared" si="106"/>
        <v>4796737.4631210761</v>
      </c>
      <c r="JJ13" s="757">
        <f t="shared" si="107"/>
        <v>18.124657321688041</v>
      </c>
      <c r="JK13" s="757">
        <v>15.97479251749226</v>
      </c>
      <c r="JL13" s="651">
        <f t="shared" si="127"/>
        <v>0.13457857445357724</v>
      </c>
      <c r="JM13" s="757">
        <f t="shared" si="109"/>
        <v>2.1498648041957811</v>
      </c>
      <c r="JN13" s="652">
        <v>25</v>
      </c>
      <c r="JS13" s="757">
        <v>18.195653385168942</v>
      </c>
      <c r="JT13" s="757">
        <f t="shared" si="110"/>
        <v>-7.0996063480901483E-2</v>
      </c>
      <c r="JU13" s="1010">
        <v>4853908</v>
      </c>
      <c r="JV13" s="1010">
        <f t="shared" si="125"/>
        <v>57170.536878923886</v>
      </c>
      <c r="JW13" s="1069">
        <f t="shared" si="111"/>
        <v>-3.9018144596428463E-3</v>
      </c>
      <c r="JX13" s="997">
        <v>883200.27531498612</v>
      </c>
      <c r="JY13" s="997">
        <f t="shared" si="112"/>
        <v>869392.22781172732</v>
      </c>
      <c r="JZ13" s="516"/>
      <c r="KA13" s="516"/>
      <c r="KB13" s="516"/>
      <c r="KC13" s="516"/>
      <c r="KE13" s="516"/>
      <c r="KF13" s="516"/>
    </row>
    <row r="14" spans="1:292" ht="16.5" x14ac:dyDescent="0.3">
      <c r="C14" s="232"/>
      <c r="I14" s="543">
        <f t="shared" si="113"/>
        <v>11</v>
      </c>
      <c r="J14" s="654">
        <f t="shared" si="1"/>
        <v>11</v>
      </c>
      <c r="K14" s="655" t="s">
        <v>400</v>
      </c>
      <c r="L14" s="991">
        <v>55085896.013157435</v>
      </c>
      <c r="M14" s="657">
        <f t="shared" si="2"/>
        <v>2.5056578176876187E-2</v>
      </c>
      <c r="N14" s="656">
        <v>245</v>
      </c>
      <c r="O14" s="656">
        <f t="shared" si="75"/>
        <v>224840.39189043851</v>
      </c>
      <c r="P14" s="657">
        <f t="shared" si="3"/>
        <v>0.12590513238223522</v>
      </c>
      <c r="Q14" s="658" t="s">
        <v>379</v>
      </c>
      <c r="U14" s="545">
        <f t="shared" si="114"/>
        <v>11</v>
      </c>
      <c r="V14" s="669">
        <f t="shared" si="4"/>
        <v>11</v>
      </c>
      <c r="W14" s="655" t="s">
        <v>400</v>
      </c>
      <c r="X14" s="646">
        <f t="shared" si="76"/>
        <v>7721563.3617101079</v>
      </c>
      <c r="Y14" s="657">
        <f t="shared" si="5"/>
        <v>7.9760996625610953E-2</v>
      </c>
      <c r="AC14" s="545">
        <f t="shared" si="115"/>
        <v>11</v>
      </c>
      <c r="AD14" s="678">
        <v>11</v>
      </c>
      <c r="AE14" s="679" t="s">
        <v>400</v>
      </c>
      <c r="AF14" s="680">
        <v>9.5</v>
      </c>
      <c r="AP14" s="545">
        <f t="shared" si="78"/>
        <v>11</v>
      </c>
      <c r="AQ14" s="693">
        <f t="shared" si="6"/>
        <v>11</v>
      </c>
      <c r="AR14" s="655" t="s">
        <v>400</v>
      </c>
      <c r="AS14" s="655">
        <f t="shared" si="7"/>
        <v>9.5</v>
      </c>
      <c r="AT14" s="694">
        <f t="shared" si="79"/>
        <v>55085896.013157435</v>
      </c>
      <c r="AU14" s="694">
        <f t="shared" si="116"/>
        <v>145365.5589236099</v>
      </c>
      <c r="AV14" s="695">
        <f t="shared" si="8"/>
        <v>149839.03743134599</v>
      </c>
      <c r="AW14" s="696">
        <f t="shared" si="9"/>
        <v>21.592508896755891</v>
      </c>
      <c r="AX14" s="646">
        <f t="shared" si="126"/>
        <v>3235400.7488176771</v>
      </c>
      <c r="AY14" s="544">
        <f t="shared" si="80"/>
        <v>7.6762065158387308E-2</v>
      </c>
      <c r="AZ14" s="548">
        <f t="shared" si="10"/>
        <v>5.8733740000000001</v>
      </c>
      <c r="BK14" s="543">
        <f t="shared" si="117"/>
        <v>11</v>
      </c>
      <c r="BL14" s="658">
        <f t="shared" si="11"/>
        <v>11</v>
      </c>
      <c r="BM14" s="655" t="s">
        <v>400</v>
      </c>
      <c r="BN14" s="657">
        <f t="shared" si="81"/>
        <v>7.6762065158387308E-2</v>
      </c>
      <c r="BO14" s="646">
        <f t="shared" si="82"/>
        <v>735895.8793733482</v>
      </c>
      <c r="BP14" s="657">
        <f t="shared" si="83"/>
        <v>2.5056578176876187E-2</v>
      </c>
      <c r="BQ14" s="646">
        <f t="shared" si="84"/>
        <v>240210.22094068339</v>
      </c>
      <c r="BR14" s="708">
        <f t="shared" si="12"/>
        <v>976106.10031403159</v>
      </c>
      <c r="BS14" s="709">
        <f t="shared" si="13"/>
        <v>1.771971</v>
      </c>
      <c r="BV14" s="15"/>
      <c r="BW14" s="190"/>
      <c r="BX14" s="190"/>
      <c r="BY14" s="190"/>
      <c r="BZ14" s="190"/>
      <c r="CA14" s="190"/>
      <c r="CB14" s="190"/>
      <c r="CC14" s="190"/>
      <c r="CD14" s="190"/>
      <c r="CH14" s="543">
        <f t="shared" si="118"/>
        <v>11</v>
      </c>
      <c r="CI14" s="678">
        <f t="shared" si="15"/>
        <v>11</v>
      </c>
      <c r="CJ14" s="655" t="s">
        <v>400</v>
      </c>
      <c r="CK14" s="657">
        <f t="shared" si="16"/>
        <v>2.5056578176876187E-2</v>
      </c>
      <c r="CL14" s="646">
        <f t="shared" si="17"/>
        <v>146875.11591540795</v>
      </c>
      <c r="CM14" s="657">
        <f t="shared" si="18"/>
        <v>0.12590513238223522</v>
      </c>
      <c r="CN14" s="646">
        <f t="shared" si="19"/>
        <v>2418886.6273728646</v>
      </c>
      <c r="CO14" s="646">
        <f t="shared" si="20"/>
        <v>2565761.7432882725</v>
      </c>
      <c r="CP14" s="657">
        <f t="shared" si="21"/>
        <v>0.10232873614350368</v>
      </c>
      <c r="CQ14" s="709">
        <f t="shared" si="22"/>
        <v>4.6577469999999996</v>
      </c>
      <c r="DD14" s="15"/>
      <c r="DG14" s="545">
        <f t="shared" si="119"/>
        <v>11</v>
      </c>
      <c r="DH14" s="739">
        <f t="shared" si="24"/>
        <v>11</v>
      </c>
      <c r="DI14" s="655" t="s">
        <v>400</v>
      </c>
      <c r="DJ14" s="657">
        <f t="shared" si="25"/>
        <v>0.10232873614350368</v>
      </c>
      <c r="DK14" s="646">
        <f t="shared" si="85"/>
        <v>38546.696101125635</v>
      </c>
      <c r="DL14" s="657">
        <f t="shared" si="26"/>
        <v>0.12590513238223522</v>
      </c>
      <c r="DM14" s="646">
        <f t="shared" si="27"/>
        <v>308232.82539388561</v>
      </c>
      <c r="DN14" s="657">
        <f t="shared" si="28"/>
        <v>2.5056578176876187E-2</v>
      </c>
      <c r="DO14" s="646">
        <f t="shared" si="29"/>
        <v>88922.388594943477</v>
      </c>
      <c r="DP14" s="646">
        <f t="shared" si="86"/>
        <v>435701.91008995473</v>
      </c>
      <c r="DQ14" s="657">
        <f t="shared" si="30"/>
        <v>6.8359399194311415E-2</v>
      </c>
      <c r="DR14" s="709">
        <f t="shared" si="31"/>
        <v>0.79095000000000004</v>
      </c>
      <c r="DV14" s="545">
        <f t="shared" si="120"/>
        <v>11</v>
      </c>
      <c r="DW14" s="739">
        <f t="shared" si="32"/>
        <v>11</v>
      </c>
      <c r="DX14" s="655" t="s">
        <v>400</v>
      </c>
      <c r="DY14" s="657">
        <f t="shared" si="33"/>
        <v>0.12590513238223522</v>
      </c>
      <c r="DZ14" s="646">
        <f t="shared" si="34"/>
        <v>508592.8592001709</v>
      </c>
      <c r="EA14" s="709">
        <f t="shared" si="35"/>
        <v>0.92327199999999998</v>
      </c>
      <c r="EM14" s="545">
        <f t="shared" si="121"/>
        <v>11</v>
      </c>
      <c r="EN14" s="739">
        <f t="shared" si="36"/>
        <v>11</v>
      </c>
      <c r="EO14" s="655" t="s">
        <v>400</v>
      </c>
      <c r="EP14" s="657">
        <f t="shared" si="37"/>
        <v>7.9760996625610953E-2</v>
      </c>
      <c r="EQ14" s="646">
        <f t="shared" si="38"/>
        <v>628162.71414575155</v>
      </c>
      <c r="ER14" s="657">
        <f t="shared" si="39"/>
        <v>0.10232873614350368</v>
      </c>
      <c r="ES14" s="646">
        <f t="shared" si="40"/>
        <v>104027.72058716815</v>
      </c>
      <c r="ET14" s="657">
        <f t="shared" si="41"/>
        <v>2.5056578176876187E-2</v>
      </c>
      <c r="EU14" s="646">
        <f t="shared" si="42"/>
        <v>107830.9682292053</v>
      </c>
      <c r="EV14" s="646">
        <f t="shared" si="43"/>
        <v>840021.40296212502</v>
      </c>
      <c r="EW14" s="657">
        <f t="shared" si="44"/>
        <v>6.3658890918141489E-2</v>
      </c>
      <c r="EX14" s="709">
        <f t="shared" si="45"/>
        <v>1.5249299999999999</v>
      </c>
      <c r="FH14" s="545">
        <f t="shared" si="122"/>
        <v>11</v>
      </c>
      <c r="FI14" s="669">
        <f t="shared" si="46"/>
        <v>11</v>
      </c>
      <c r="FJ14" s="655" t="s">
        <v>400</v>
      </c>
      <c r="FK14" s="657">
        <f t="shared" si="47"/>
        <v>7.9760996625610953E-2</v>
      </c>
      <c r="FL14" s="646">
        <f t="shared" si="48"/>
        <v>1574813.6326702293</v>
      </c>
      <c r="FM14" s="709">
        <f t="shared" si="49"/>
        <v>2.8588330000000002</v>
      </c>
      <c r="FQ14" s="543">
        <v>11</v>
      </c>
      <c r="FR14" s="669">
        <v>11</v>
      </c>
      <c r="FS14" s="655" t="s">
        <v>400</v>
      </c>
      <c r="FT14" s="646">
        <f t="shared" si="50"/>
        <v>3235400.7488176771</v>
      </c>
      <c r="FU14" s="646">
        <f t="shared" si="51"/>
        <v>976106.10031403159</v>
      </c>
      <c r="FV14" s="646">
        <f t="shared" si="52"/>
        <v>2565761.7432882725</v>
      </c>
      <c r="FW14" s="646">
        <f t="shared" si="88"/>
        <v>435701.91008995473</v>
      </c>
      <c r="FX14" s="646">
        <f t="shared" si="53"/>
        <v>508592.8592001709</v>
      </c>
      <c r="FY14" s="646">
        <f t="shared" si="54"/>
        <v>840021.40296212502</v>
      </c>
      <c r="FZ14" s="646">
        <f t="shared" si="55"/>
        <v>1574813.6326702293</v>
      </c>
      <c r="GA14" s="646">
        <f t="shared" si="56"/>
        <v>10136398.397342462</v>
      </c>
      <c r="GB14" s="746">
        <f t="shared" si="57"/>
        <v>18.401077000000001</v>
      </c>
      <c r="GF14" s="545">
        <f t="shared" si="89"/>
        <v>11</v>
      </c>
      <c r="GG14" s="669">
        <f t="shared" si="58"/>
        <v>11</v>
      </c>
      <c r="GH14" s="655" t="s">
        <v>400</v>
      </c>
      <c r="GI14" s="709">
        <f t="shared" si="59"/>
        <v>5.8733740000000001</v>
      </c>
      <c r="GJ14" s="709">
        <f t="shared" si="60"/>
        <v>1.771971</v>
      </c>
      <c r="GK14" s="709">
        <f t="shared" si="61"/>
        <v>4.6577469999999996</v>
      </c>
      <c r="GL14" s="709">
        <f t="shared" si="62"/>
        <v>0.79095000000000004</v>
      </c>
      <c r="GM14" s="709">
        <f t="shared" si="63"/>
        <v>0.92327199999999998</v>
      </c>
      <c r="GN14" s="709">
        <f t="shared" si="64"/>
        <v>1.5249299999999999</v>
      </c>
      <c r="GO14" s="709">
        <f t="shared" si="65"/>
        <v>2.8588330000000002</v>
      </c>
      <c r="GP14" s="709">
        <f t="shared" si="66"/>
        <v>18.401077000000001</v>
      </c>
      <c r="GQ14" s="656">
        <f t="shared" si="90"/>
        <v>55085896.013157435</v>
      </c>
      <c r="GR14" s="530"/>
      <c r="GU14" s="543">
        <f t="shared" si="91"/>
        <v>11</v>
      </c>
      <c r="GV14" s="669">
        <f t="shared" si="67"/>
        <v>11</v>
      </c>
      <c r="GW14" s="655" t="s">
        <v>400</v>
      </c>
      <c r="GX14" s="658" t="s">
        <v>379</v>
      </c>
      <c r="GY14" s="646">
        <f t="shared" si="68"/>
        <v>10136398.397342462</v>
      </c>
      <c r="GZ14" s="656">
        <f t="shared" si="69"/>
        <v>55085896.013157435</v>
      </c>
      <c r="HA14" s="709">
        <f t="shared" si="92"/>
        <v>18.401077000000001</v>
      </c>
      <c r="HB14" s="646">
        <f t="shared" si="70"/>
        <v>10136398.141521031</v>
      </c>
      <c r="HC14" s="749">
        <f t="shared" si="71"/>
        <v>-0.25582143105566502</v>
      </c>
      <c r="HD14" s="549"/>
      <c r="HG14" s="549"/>
      <c r="HH14" s="549"/>
      <c r="HI14" s="549"/>
      <c r="HJ14" s="549"/>
      <c r="HK14" s="549"/>
      <c r="HL14" s="549"/>
      <c r="HM14" s="549"/>
      <c r="HP14" s="545">
        <f t="shared" si="123"/>
        <v>11</v>
      </c>
      <c r="HQ14" s="761">
        <f t="shared" si="72"/>
        <v>11</v>
      </c>
      <c r="HR14" s="655" t="s">
        <v>400</v>
      </c>
      <c r="HS14" s="656">
        <f t="shared" si="93"/>
        <v>55085896.013157435</v>
      </c>
      <c r="HT14" s="756">
        <f t="shared" si="94"/>
        <v>18.401077000000001</v>
      </c>
      <c r="HU14" s="756">
        <v>16.373829000000001</v>
      </c>
      <c r="HV14" s="647">
        <f t="shared" si="95"/>
        <v>0.12381025843130522</v>
      </c>
      <c r="HW14" s="756">
        <f t="shared" si="96"/>
        <v>2.0272480000000002</v>
      </c>
      <c r="HX14" s="648">
        <v>25</v>
      </c>
      <c r="IO14" s="545">
        <v>11</v>
      </c>
      <c r="IP14" s="761">
        <v>11</v>
      </c>
      <c r="IQ14" s="655" t="s">
        <v>400</v>
      </c>
      <c r="IR14" s="769">
        <f t="shared" si="97"/>
        <v>10136398.397342462</v>
      </c>
      <c r="IS14" s="770">
        <f t="shared" si="97"/>
        <v>55085896.013157435</v>
      </c>
      <c r="IT14" s="771">
        <f t="shared" si="97"/>
        <v>18.401077000000001</v>
      </c>
      <c r="IU14" s="656">
        <f t="shared" si="98"/>
        <v>8040712.524659167</v>
      </c>
      <c r="IV14" s="656">
        <f t="shared" si="99"/>
        <v>47045183.488498271</v>
      </c>
      <c r="IW14" s="769">
        <f t="shared" si="100"/>
        <v>120610.68786988751</v>
      </c>
      <c r="IX14" s="769">
        <f t="shared" si="101"/>
        <v>10015787.709472574</v>
      </c>
      <c r="IY14" s="550">
        <f t="shared" si="102"/>
        <v>18.182127249196913</v>
      </c>
      <c r="IZ14" s="550">
        <f t="shared" si="103"/>
        <v>19.682127249196913</v>
      </c>
      <c r="JA14" s="769">
        <f t="shared" si="104"/>
        <v>10136398.397342462</v>
      </c>
      <c r="JB14" s="746">
        <f t="shared" si="105"/>
        <v>0.21894975080308754</v>
      </c>
      <c r="JF14" s="545">
        <f t="shared" si="124"/>
        <v>11</v>
      </c>
      <c r="JG14" s="761">
        <f t="shared" si="73"/>
        <v>11</v>
      </c>
      <c r="JH14" s="655" t="s">
        <v>400</v>
      </c>
      <c r="JI14" s="656">
        <f t="shared" si="106"/>
        <v>55085896.013157435</v>
      </c>
      <c r="JJ14" s="756">
        <f t="shared" si="107"/>
        <v>18.182127249196913</v>
      </c>
      <c r="JK14" s="756">
        <v>16.151595464916259</v>
      </c>
      <c r="JL14" s="647">
        <f t="shared" si="127"/>
        <v>0.12571710260396762</v>
      </c>
      <c r="JM14" s="756">
        <f t="shared" si="109"/>
        <v>2.0305317842806545</v>
      </c>
      <c r="JN14" s="648">
        <v>25</v>
      </c>
      <c r="JS14" s="756">
        <v>18.261111175750457</v>
      </c>
      <c r="JT14" s="1005">
        <f t="shared" si="110"/>
        <v>-7.8983926553544137E-2</v>
      </c>
      <c r="JU14" s="1009">
        <v>55181479</v>
      </c>
      <c r="JV14" s="1009">
        <f t="shared" si="125"/>
        <v>95582.986842565238</v>
      </c>
      <c r="JW14" s="1069">
        <f t="shared" si="111"/>
        <v>-4.3252530359943015E-3</v>
      </c>
      <c r="JX14" s="997">
        <v>10076751.228613392</v>
      </c>
      <c r="JY14" s="997">
        <f t="shared" si="112"/>
        <v>10015787.709472574</v>
      </c>
      <c r="JZ14" s="516"/>
      <c r="KA14" s="516"/>
      <c r="KB14" s="516"/>
      <c r="KC14" s="516"/>
      <c r="KE14" s="516"/>
      <c r="KF14" s="516"/>
    </row>
    <row r="15" spans="1:292" ht="16.5" x14ac:dyDescent="0.3">
      <c r="I15" s="222">
        <f t="shared" si="113"/>
        <v>12</v>
      </c>
      <c r="J15" s="659">
        <f t="shared" si="1"/>
        <v>12</v>
      </c>
      <c r="K15" s="660" t="s">
        <v>401</v>
      </c>
      <c r="L15" s="991">
        <v>25680868.749002881</v>
      </c>
      <c r="M15" s="662">
        <f t="shared" si="2"/>
        <v>1.1681296702622235E-2</v>
      </c>
      <c r="N15" s="661">
        <v>1606</v>
      </c>
      <c r="O15" s="661">
        <f t="shared" si="75"/>
        <v>15990.578299503662</v>
      </c>
      <c r="P15" s="662">
        <f t="shared" si="3"/>
        <v>8.9543336085651203E-3</v>
      </c>
      <c r="Q15" s="663" t="s">
        <v>384</v>
      </c>
      <c r="U15" s="551">
        <f t="shared" si="114"/>
        <v>12</v>
      </c>
      <c r="V15" s="670">
        <f t="shared" si="4"/>
        <v>12</v>
      </c>
      <c r="W15" s="660" t="s">
        <v>401</v>
      </c>
      <c r="X15" s="671">
        <f t="shared" si="76"/>
        <v>1435919.9756836661</v>
      </c>
      <c r="Y15" s="662">
        <f t="shared" si="5"/>
        <v>1.4832541412933118E-2</v>
      </c>
      <c r="AC15" s="551">
        <f t="shared" si="115"/>
        <v>12</v>
      </c>
      <c r="AD15" s="681">
        <v>12</v>
      </c>
      <c r="AE15" s="682" t="s">
        <v>401</v>
      </c>
      <c r="AF15" s="683">
        <v>5.03</v>
      </c>
      <c r="AP15" s="551">
        <f t="shared" si="78"/>
        <v>12</v>
      </c>
      <c r="AQ15" s="697">
        <f t="shared" si="6"/>
        <v>12</v>
      </c>
      <c r="AR15" s="660" t="s">
        <v>401</v>
      </c>
      <c r="AS15" s="660">
        <f t="shared" si="7"/>
        <v>5.03</v>
      </c>
      <c r="AT15" s="698">
        <f t="shared" si="79"/>
        <v>25680868.749002881</v>
      </c>
      <c r="AU15" s="698">
        <f t="shared" si="116"/>
        <v>35881.880502079024</v>
      </c>
      <c r="AV15" s="699">
        <f t="shared" si="8"/>
        <v>36986.109195806654</v>
      </c>
      <c r="AW15" s="700">
        <f t="shared" si="9"/>
        <v>21.592508896755891</v>
      </c>
      <c r="AX15" s="671">
        <f t="shared" si="126"/>
        <v>798622.89186684007</v>
      </c>
      <c r="AY15" s="465">
        <f t="shared" si="80"/>
        <v>1.8947866809038903E-2</v>
      </c>
      <c r="AZ15" s="553">
        <f t="shared" si="10"/>
        <v>3.1097969999999999</v>
      </c>
      <c r="BK15" s="222">
        <f t="shared" si="117"/>
        <v>12</v>
      </c>
      <c r="BL15" s="663">
        <f t="shared" si="11"/>
        <v>12</v>
      </c>
      <c r="BM15" s="660" t="s">
        <v>401</v>
      </c>
      <c r="BN15" s="662">
        <f t="shared" si="81"/>
        <v>1.8947866809038903E-2</v>
      </c>
      <c r="BO15" s="671">
        <f t="shared" si="82"/>
        <v>181647.75894077448</v>
      </c>
      <c r="BP15" s="662">
        <f t="shared" si="83"/>
        <v>1.1681296702622235E-2</v>
      </c>
      <c r="BQ15" s="671">
        <f t="shared" si="84"/>
        <v>111985.23764909325</v>
      </c>
      <c r="BR15" s="710">
        <f t="shared" si="12"/>
        <v>293632.99658986775</v>
      </c>
      <c r="BS15" s="711">
        <f t="shared" si="13"/>
        <v>1.143392</v>
      </c>
      <c r="BV15" s="15"/>
      <c r="BW15" s="190"/>
      <c r="BX15" s="190"/>
      <c r="BY15" s="190"/>
      <c r="BZ15" s="190"/>
      <c r="CA15" s="190"/>
      <c r="CB15" s="190"/>
      <c r="CC15" s="190"/>
      <c r="CD15" s="190"/>
      <c r="CH15" s="222">
        <f t="shared" si="118"/>
        <v>12</v>
      </c>
      <c r="CI15" s="681">
        <f t="shared" si="15"/>
        <v>12</v>
      </c>
      <c r="CJ15" s="660" t="s">
        <v>401</v>
      </c>
      <c r="CK15" s="723">
        <f t="shared" si="16"/>
        <v>1.1681296702622235E-2</v>
      </c>
      <c r="CL15" s="650">
        <f t="shared" si="17"/>
        <v>68472.709846042097</v>
      </c>
      <c r="CM15" s="723">
        <f t="shared" si="18"/>
        <v>8.9543336085651203E-3</v>
      </c>
      <c r="CN15" s="650">
        <f t="shared" si="19"/>
        <v>172030.45986272805</v>
      </c>
      <c r="CO15" s="650">
        <f t="shared" si="20"/>
        <v>240503.16970877015</v>
      </c>
      <c r="CP15" s="723">
        <f t="shared" si="21"/>
        <v>9.5918436149353588E-3</v>
      </c>
      <c r="CQ15" s="724">
        <f t="shared" si="22"/>
        <v>0.93650699999999998</v>
      </c>
      <c r="DD15" s="15"/>
      <c r="DG15" s="551">
        <f t="shared" si="119"/>
        <v>12</v>
      </c>
      <c r="DH15" s="677">
        <f t="shared" si="24"/>
        <v>12</v>
      </c>
      <c r="DI15" s="660" t="s">
        <v>401</v>
      </c>
      <c r="DJ15" s="723">
        <f t="shared" si="25"/>
        <v>9.5918436149353588E-3</v>
      </c>
      <c r="DK15" s="650">
        <f t="shared" si="85"/>
        <v>3613.1969846273537</v>
      </c>
      <c r="DL15" s="723">
        <f t="shared" si="26"/>
        <v>8.9543336085651203E-3</v>
      </c>
      <c r="DM15" s="650">
        <f t="shared" si="27"/>
        <v>21921.422069660468</v>
      </c>
      <c r="DN15" s="723">
        <f t="shared" si="28"/>
        <v>1.1681296702622235E-2</v>
      </c>
      <c r="DO15" s="650">
        <f t="shared" si="29"/>
        <v>41455.333499687986</v>
      </c>
      <c r="DP15" s="650">
        <f t="shared" si="86"/>
        <v>66989.952553975803</v>
      </c>
      <c r="DQ15" s="723">
        <f t="shared" si="30"/>
        <v>1.0510380612514999E-2</v>
      </c>
      <c r="DR15" s="724">
        <f t="shared" si="31"/>
        <v>0.260855</v>
      </c>
      <c r="DV15" s="551">
        <f t="shared" si="120"/>
        <v>12</v>
      </c>
      <c r="DW15" s="677">
        <f t="shared" si="32"/>
        <v>12</v>
      </c>
      <c r="DX15" s="660" t="s">
        <v>401</v>
      </c>
      <c r="DY15" s="723">
        <f t="shared" si="33"/>
        <v>8.9543336085651203E-3</v>
      </c>
      <c r="DZ15" s="650">
        <f t="shared" si="34"/>
        <v>36170.964964212115</v>
      </c>
      <c r="EA15" s="724">
        <f t="shared" si="35"/>
        <v>0.140848</v>
      </c>
      <c r="EM15" s="551">
        <f t="shared" si="121"/>
        <v>12</v>
      </c>
      <c r="EN15" s="677">
        <f t="shared" si="36"/>
        <v>12</v>
      </c>
      <c r="EO15" s="660" t="s">
        <v>401</v>
      </c>
      <c r="EP15" s="723">
        <f t="shared" si="37"/>
        <v>1.4832541412933118E-2</v>
      </c>
      <c r="EQ15" s="650">
        <f t="shared" si="38"/>
        <v>116814.6069608613</v>
      </c>
      <c r="ER15" s="723">
        <f t="shared" si="39"/>
        <v>9.5918436149353588E-3</v>
      </c>
      <c r="ES15" s="650">
        <f t="shared" si="40"/>
        <v>9751.0989101926352</v>
      </c>
      <c r="ET15" s="723">
        <f t="shared" si="41"/>
        <v>1.1681296702622235E-2</v>
      </c>
      <c r="EU15" s="650">
        <f t="shared" si="42"/>
        <v>50270.452921573451</v>
      </c>
      <c r="EV15" s="650">
        <f t="shared" si="43"/>
        <v>176836.15879262739</v>
      </c>
      <c r="EW15" s="723">
        <f t="shared" si="44"/>
        <v>1.3401079666860083E-2</v>
      </c>
      <c r="EX15" s="724">
        <f t="shared" si="45"/>
        <v>0.68859099999999995</v>
      </c>
      <c r="FH15" s="551">
        <f t="shared" si="122"/>
        <v>12</v>
      </c>
      <c r="FI15" s="670">
        <f t="shared" si="46"/>
        <v>12</v>
      </c>
      <c r="FJ15" s="660" t="s">
        <v>401</v>
      </c>
      <c r="FK15" s="723">
        <f t="shared" si="47"/>
        <v>1.4832541412933118E-2</v>
      </c>
      <c r="FL15" s="650">
        <f t="shared" si="48"/>
        <v>292856.02503031533</v>
      </c>
      <c r="FM15" s="724">
        <f t="shared" si="49"/>
        <v>1.1403669999999999</v>
      </c>
      <c r="FQ15" s="222">
        <v>12</v>
      </c>
      <c r="FR15" s="670">
        <v>12</v>
      </c>
      <c r="FS15" s="660" t="s">
        <v>401</v>
      </c>
      <c r="FT15" s="650">
        <f t="shared" si="50"/>
        <v>798622.89186684007</v>
      </c>
      <c r="FU15" s="650">
        <f t="shared" si="51"/>
        <v>293632.99658986775</v>
      </c>
      <c r="FV15" s="650">
        <f t="shared" si="52"/>
        <v>240503.16970877015</v>
      </c>
      <c r="FW15" s="650">
        <f t="shared" si="88"/>
        <v>66989.952553975803</v>
      </c>
      <c r="FX15" s="650">
        <f t="shared" si="53"/>
        <v>36170.964964212115</v>
      </c>
      <c r="FY15" s="650">
        <f t="shared" si="54"/>
        <v>176836.15879262739</v>
      </c>
      <c r="FZ15" s="650">
        <f t="shared" si="55"/>
        <v>292856.02503031533</v>
      </c>
      <c r="GA15" s="650">
        <f t="shared" si="56"/>
        <v>1905612.1595066087</v>
      </c>
      <c r="GB15" s="747">
        <f t="shared" si="57"/>
        <v>7.4203570000000001</v>
      </c>
      <c r="GF15" s="551">
        <f t="shared" si="89"/>
        <v>12</v>
      </c>
      <c r="GG15" s="670">
        <f t="shared" si="58"/>
        <v>12</v>
      </c>
      <c r="GH15" s="660" t="s">
        <v>401</v>
      </c>
      <c r="GI15" s="724">
        <f t="shared" si="59"/>
        <v>3.1097969999999999</v>
      </c>
      <c r="GJ15" s="724">
        <f t="shared" si="60"/>
        <v>1.143392</v>
      </c>
      <c r="GK15" s="724">
        <f t="shared" si="61"/>
        <v>0.93650699999999998</v>
      </c>
      <c r="GL15" s="724">
        <f t="shared" si="62"/>
        <v>0.260855</v>
      </c>
      <c r="GM15" s="724">
        <f t="shared" si="63"/>
        <v>0.140848</v>
      </c>
      <c r="GN15" s="724">
        <f t="shared" si="64"/>
        <v>0.68859099999999995</v>
      </c>
      <c r="GO15" s="724">
        <f t="shared" si="65"/>
        <v>1.1403669999999999</v>
      </c>
      <c r="GP15" s="724">
        <f t="shared" si="66"/>
        <v>7.4203570000000001</v>
      </c>
      <c r="GQ15" s="661">
        <f t="shared" si="90"/>
        <v>25680868.749002881</v>
      </c>
      <c r="GR15" s="530"/>
      <c r="GU15" s="222">
        <f t="shared" si="91"/>
        <v>12</v>
      </c>
      <c r="GV15" s="670">
        <f t="shared" si="67"/>
        <v>12</v>
      </c>
      <c r="GW15" s="660" t="s">
        <v>401</v>
      </c>
      <c r="GX15" s="663" t="s">
        <v>384</v>
      </c>
      <c r="GY15" s="671">
        <f t="shared" si="68"/>
        <v>1905612.1595066087</v>
      </c>
      <c r="GZ15" s="661">
        <f t="shared" si="69"/>
        <v>25680868.749002881</v>
      </c>
      <c r="HA15" s="724">
        <f t="shared" si="92"/>
        <v>7.4203570000000001</v>
      </c>
      <c r="HB15" s="650">
        <f t="shared" si="70"/>
        <v>1905612.1418774477</v>
      </c>
      <c r="HC15" s="750">
        <f t="shared" si="71"/>
        <v>-1.7629161011427641E-2</v>
      </c>
      <c r="HD15" s="549"/>
      <c r="HG15" s="549"/>
      <c r="HH15" s="549"/>
      <c r="HI15" s="549"/>
      <c r="HJ15" s="549"/>
      <c r="HK15" s="549"/>
      <c r="HL15" s="549"/>
      <c r="HM15" s="549"/>
      <c r="HP15" s="551">
        <f t="shared" si="123"/>
        <v>12</v>
      </c>
      <c r="HQ15" s="762">
        <f t="shared" si="72"/>
        <v>12</v>
      </c>
      <c r="HR15" s="660" t="s">
        <v>401</v>
      </c>
      <c r="HS15" s="661">
        <f t="shared" si="93"/>
        <v>25680868.749002881</v>
      </c>
      <c r="HT15" s="757">
        <f t="shared" si="94"/>
        <v>7.4203570000000001</v>
      </c>
      <c r="HU15" s="757">
        <v>6.4709839999999996</v>
      </c>
      <c r="HV15" s="651">
        <f t="shared" si="95"/>
        <v>0.14671230835990334</v>
      </c>
      <c r="HW15" s="757">
        <f t="shared" si="96"/>
        <v>0.94937300000000047</v>
      </c>
      <c r="HX15" s="652">
        <v>10</v>
      </c>
      <c r="IO15" s="551">
        <v>12</v>
      </c>
      <c r="IP15" s="762">
        <v>12</v>
      </c>
      <c r="IQ15" s="660" t="s">
        <v>401</v>
      </c>
      <c r="IR15" s="772">
        <f t="shared" si="97"/>
        <v>1905612.1595066087</v>
      </c>
      <c r="IS15" s="773">
        <f t="shared" si="97"/>
        <v>25680868.749002881</v>
      </c>
      <c r="IT15" s="774">
        <f t="shared" si="97"/>
        <v>7.4203570000000001</v>
      </c>
      <c r="IU15" s="991">
        <v>0</v>
      </c>
      <c r="IV15" s="661">
        <f t="shared" si="99"/>
        <v>25680868.749002881</v>
      </c>
      <c r="IW15" s="772">
        <f t="shared" si="100"/>
        <v>0</v>
      </c>
      <c r="IX15" s="772">
        <f t="shared" si="101"/>
        <v>1905612.1595066087</v>
      </c>
      <c r="IY15" s="455">
        <f>IT15</f>
        <v>7.4203570000000001</v>
      </c>
      <c r="IZ15" s="555">
        <f>IY15</f>
        <v>7.4203570000000001</v>
      </c>
      <c r="JA15" s="772">
        <f t="shared" si="104"/>
        <v>1905612.1418774477</v>
      </c>
      <c r="JB15" s="778">
        <f t="shared" si="105"/>
        <v>0</v>
      </c>
      <c r="JF15" s="551">
        <f t="shared" si="124"/>
        <v>12</v>
      </c>
      <c r="JG15" s="762">
        <f t="shared" si="73"/>
        <v>12</v>
      </c>
      <c r="JH15" s="660" t="s">
        <v>401</v>
      </c>
      <c r="JI15" s="661">
        <f t="shared" si="106"/>
        <v>25680868.749002881</v>
      </c>
      <c r="JJ15" s="757">
        <f t="shared" si="107"/>
        <v>7.4203570000000001</v>
      </c>
      <c r="JK15" s="757">
        <v>6.4709839999999996</v>
      </c>
      <c r="JL15" s="651">
        <f t="shared" si="127"/>
        <v>0.14671230835990334</v>
      </c>
      <c r="JM15" s="757">
        <f t="shared" si="109"/>
        <v>0.94937300000000047</v>
      </c>
      <c r="JN15" s="652">
        <v>10</v>
      </c>
      <c r="JS15" s="757">
        <v>7.4486800000000004</v>
      </c>
      <c r="JT15" s="757">
        <f t="shared" si="110"/>
        <v>-2.832300000000032E-2</v>
      </c>
      <c r="JU15" s="1010">
        <v>27254832</v>
      </c>
      <c r="JV15" s="1010">
        <f t="shared" si="125"/>
        <v>1573963.2509971187</v>
      </c>
      <c r="JW15" s="1069">
        <f t="shared" si="111"/>
        <v>-3.8024186835788781E-3</v>
      </c>
      <c r="JX15" s="997">
        <v>2030125.2202176002</v>
      </c>
      <c r="JY15" s="997">
        <f t="shared" si="112"/>
        <v>1905612.1418774477</v>
      </c>
      <c r="JZ15" s="516"/>
      <c r="KA15" s="516"/>
      <c r="KB15" s="516"/>
      <c r="KC15" s="516"/>
      <c r="KE15" s="516"/>
      <c r="KF15" s="516"/>
    </row>
    <row r="16" spans="1:292" ht="16.5" x14ac:dyDescent="0.3">
      <c r="E16" s="411"/>
      <c r="I16" s="543">
        <f t="shared" si="113"/>
        <v>13</v>
      </c>
      <c r="J16" s="654">
        <f t="shared" si="1"/>
        <v>13</v>
      </c>
      <c r="K16" s="655" t="s">
        <v>402</v>
      </c>
      <c r="L16" s="991">
        <v>453.92490534894125</v>
      </c>
      <c r="M16" s="657">
        <f t="shared" si="2"/>
        <v>2.0647399244609186E-7</v>
      </c>
      <c r="N16" s="656">
        <v>18</v>
      </c>
      <c r="O16" s="656">
        <f t="shared" si="75"/>
        <v>25.218050297163401</v>
      </c>
      <c r="P16" s="657">
        <f t="shared" si="3"/>
        <v>1.4121492737094124E-5</v>
      </c>
      <c r="Q16" s="658" t="s">
        <v>379</v>
      </c>
      <c r="U16" s="545">
        <f>+U15+1</f>
        <v>13</v>
      </c>
      <c r="V16" s="669">
        <f t="shared" si="4"/>
        <v>13</v>
      </c>
      <c r="W16" s="655" t="s">
        <v>402</v>
      </c>
      <c r="X16" s="646">
        <f t="shared" si="76"/>
        <v>628.73522426481418</v>
      </c>
      <c r="Y16" s="657">
        <f t="shared" si="5"/>
        <v>6.4946107092336416E-6</v>
      </c>
      <c r="AC16" s="545">
        <f t="shared" si="115"/>
        <v>13</v>
      </c>
      <c r="AD16" s="678">
        <v>13</v>
      </c>
      <c r="AE16" s="679" t="s">
        <v>402</v>
      </c>
      <c r="AF16" s="680">
        <v>74.84</v>
      </c>
      <c r="AP16" s="545">
        <f t="shared" si="78"/>
        <v>13</v>
      </c>
      <c r="AQ16" s="693">
        <f t="shared" si="6"/>
        <v>13</v>
      </c>
      <c r="AR16" s="655" t="s">
        <v>402</v>
      </c>
      <c r="AS16" s="655">
        <f t="shared" si="7"/>
        <v>74.84</v>
      </c>
      <c r="AT16" s="694">
        <f t="shared" si="79"/>
        <v>453.92490534894125</v>
      </c>
      <c r="AU16" s="694">
        <f t="shared" si="116"/>
        <v>9.4365944211985457</v>
      </c>
      <c r="AV16" s="695">
        <f t="shared" si="8"/>
        <v>9.7269960998495222</v>
      </c>
      <c r="AW16" s="696">
        <f t="shared" si="9"/>
        <v>21.592508896755891</v>
      </c>
      <c r="AX16" s="646">
        <f>AV16*AW16</f>
        <v>210.03024982471067</v>
      </c>
      <c r="AY16" s="544">
        <f t="shared" si="80"/>
        <v>4.9831093499525365E-6</v>
      </c>
      <c r="AZ16" s="548">
        <f t="shared" si="10"/>
        <v>46.269823000000002</v>
      </c>
      <c r="BK16" s="543">
        <f t="shared" si="117"/>
        <v>13</v>
      </c>
      <c r="BL16" s="658">
        <f t="shared" si="11"/>
        <v>13</v>
      </c>
      <c r="BM16" s="655" t="s">
        <v>402</v>
      </c>
      <c r="BN16" s="657">
        <f t="shared" si="81"/>
        <v>4.9831093499525365E-6</v>
      </c>
      <c r="BO16" s="646">
        <f t="shared" si="82"/>
        <v>47.771638628148608</v>
      </c>
      <c r="BP16" s="657">
        <f t="shared" si="83"/>
        <v>2.0647399244609186E-7</v>
      </c>
      <c r="BQ16" s="646">
        <f t="shared" si="84"/>
        <v>1.9794068844465023</v>
      </c>
      <c r="BR16" s="708">
        <f t="shared" si="12"/>
        <v>49.751045512595113</v>
      </c>
      <c r="BS16" s="709">
        <f t="shared" si="13"/>
        <v>10.960193</v>
      </c>
      <c r="BV16" s="15"/>
      <c r="BW16" s="190"/>
      <c r="BX16" s="190"/>
      <c r="BY16" s="190"/>
      <c r="BZ16" s="190"/>
      <c r="CA16" s="190"/>
      <c r="CB16" s="190"/>
      <c r="CC16" s="190"/>
      <c r="CD16" s="190"/>
      <c r="CH16" s="543">
        <f t="shared" si="118"/>
        <v>13</v>
      </c>
      <c r="CI16" s="678">
        <f t="shared" si="15"/>
        <v>13</v>
      </c>
      <c r="CJ16" s="655" t="s">
        <v>402</v>
      </c>
      <c r="CK16" s="657">
        <f t="shared" si="16"/>
        <v>2.0647399244609186E-7</v>
      </c>
      <c r="CL16" s="646">
        <f t="shared" si="17"/>
        <v>1.210296607939207</v>
      </c>
      <c r="CM16" s="657">
        <f t="shared" si="18"/>
        <v>1.4121492737094124E-5</v>
      </c>
      <c r="CN16" s="646">
        <f t="shared" si="19"/>
        <v>271.30180711457336</v>
      </c>
      <c r="CO16" s="646">
        <f t="shared" si="20"/>
        <v>272.51210372251256</v>
      </c>
      <c r="CP16" s="657">
        <f t="shared" si="21"/>
        <v>1.0868436724757505E-5</v>
      </c>
      <c r="CQ16" s="709">
        <f t="shared" si="22"/>
        <v>60.034623000000003</v>
      </c>
      <c r="DD16" s="15"/>
      <c r="DG16" s="545">
        <f t="shared" si="119"/>
        <v>13</v>
      </c>
      <c r="DH16" s="739">
        <f t="shared" si="24"/>
        <v>13</v>
      </c>
      <c r="DI16" s="655" t="s">
        <v>402</v>
      </c>
      <c r="DJ16" s="657">
        <f t="shared" si="25"/>
        <v>1.0868436724757505E-5</v>
      </c>
      <c r="DK16" s="646">
        <f t="shared" si="85"/>
        <v>4.0940828872939932</v>
      </c>
      <c r="DL16" s="657">
        <f t="shared" si="26"/>
        <v>1.4121492737094124E-5</v>
      </c>
      <c r="DM16" s="646">
        <f t="shared" si="27"/>
        <v>34.571327814654744</v>
      </c>
      <c r="DN16" s="657">
        <f t="shared" si="28"/>
        <v>2.0647399244609186E-7</v>
      </c>
      <c r="DO16" s="646">
        <f t="shared" si="29"/>
        <v>0.73274812152861057</v>
      </c>
      <c r="DP16" s="646">
        <f t="shared" si="86"/>
        <v>39.398158823477345</v>
      </c>
      <c r="DQ16" s="657">
        <f t="shared" si="30"/>
        <v>6.1813694275036043E-6</v>
      </c>
      <c r="DR16" s="709">
        <f t="shared" si="31"/>
        <v>8.6794440000000002</v>
      </c>
      <c r="DV16" s="545">
        <f t="shared" si="120"/>
        <v>13</v>
      </c>
      <c r="DW16" s="739">
        <f t="shared" si="32"/>
        <v>13</v>
      </c>
      <c r="DX16" s="655" t="s">
        <v>402</v>
      </c>
      <c r="DY16" s="657">
        <f t="shared" si="33"/>
        <v>1.4121492737094124E-5</v>
      </c>
      <c r="DZ16" s="646">
        <f t="shared" si="34"/>
        <v>57.043666381518499</v>
      </c>
      <c r="EA16" s="709">
        <f t="shared" si="35"/>
        <v>12.566763</v>
      </c>
      <c r="EM16" s="545">
        <f>+EM15+1</f>
        <v>13</v>
      </c>
      <c r="EN16" s="739">
        <f t="shared" si="36"/>
        <v>13</v>
      </c>
      <c r="EO16" s="655" t="s">
        <v>402</v>
      </c>
      <c r="EP16" s="657">
        <f t="shared" si="37"/>
        <v>6.4946107092336416E-6</v>
      </c>
      <c r="EQ16" s="646">
        <f t="shared" si="38"/>
        <v>51.148712566641898</v>
      </c>
      <c r="ER16" s="657">
        <f t="shared" si="39"/>
        <v>1.0868436724757505E-5</v>
      </c>
      <c r="ES16" s="646">
        <f t="shared" si="40"/>
        <v>11.048887550383057</v>
      </c>
      <c r="ET16" s="657">
        <f t="shared" si="41"/>
        <v>2.0647399244609186E-7</v>
      </c>
      <c r="EU16" s="646">
        <f t="shared" si="42"/>
        <v>0.8885606950177507</v>
      </c>
      <c r="EV16" s="646">
        <f t="shared" si="43"/>
        <v>63.086160812042706</v>
      </c>
      <c r="EW16" s="657">
        <f t="shared" si="44"/>
        <v>4.7808246497253033E-6</v>
      </c>
      <c r="EX16" s="709">
        <f t="shared" si="45"/>
        <v>13.897929</v>
      </c>
      <c r="FH16" s="545">
        <f>+FH15+1</f>
        <v>13</v>
      </c>
      <c r="FI16" s="669">
        <f t="shared" si="46"/>
        <v>13</v>
      </c>
      <c r="FJ16" s="655" t="s">
        <v>402</v>
      </c>
      <c r="FK16" s="657">
        <f t="shared" si="47"/>
        <v>6.4946107092336416E-6</v>
      </c>
      <c r="FL16" s="646">
        <f t="shared" si="48"/>
        <v>128.23061291216484</v>
      </c>
      <c r="FM16" s="709">
        <f t="shared" si="49"/>
        <v>28.249300999999999</v>
      </c>
      <c r="FQ16" s="543">
        <v>13</v>
      </c>
      <c r="FR16" s="669">
        <v>13</v>
      </c>
      <c r="FS16" s="655" t="s">
        <v>402</v>
      </c>
      <c r="FT16" s="646">
        <f t="shared" si="50"/>
        <v>210.03024982471067</v>
      </c>
      <c r="FU16" s="646">
        <f t="shared" si="51"/>
        <v>49.751045512595113</v>
      </c>
      <c r="FV16" s="646">
        <f t="shared" si="52"/>
        <v>272.51210372251256</v>
      </c>
      <c r="FW16" s="646">
        <f t="shared" si="88"/>
        <v>39.398158823477345</v>
      </c>
      <c r="FX16" s="646">
        <f t="shared" si="53"/>
        <v>57.043666381518499</v>
      </c>
      <c r="FY16" s="646">
        <f t="shared" si="54"/>
        <v>63.086160812042706</v>
      </c>
      <c r="FZ16" s="646">
        <f t="shared" si="55"/>
        <v>128.23061291216484</v>
      </c>
      <c r="GA16" s="646">
        <f t="shared" si="56"/>
        <v>820.05199798902174</v>
      </c>
      <c r="GB16" s="746">
        <f t="shared" si="57"/>
        <v>180.658075</v>
      </c>
      <c r="GF16" s="545">
        <f t="shared" si="89"/>
        <v>13</v>
      </c>
      <c r="GG16" s="669">
        <f t="shared" si="58"/>
        <v>13</v>
      </c>
      <c r="GH16" s="655" t="s">
        <v>402</v>
      </c>
      <c r="GI16" s="709">
        <f t="shared" si="59"/>
        <v>46.269823000000002</v>
      </c>
      <c r="GJ16" s="709">
        <f t="shared" si="60"/>
        <v>10.960193</v>
      </c>
      <c r="GK16" s="709">
        <f t="shared" si="61"/>
        <v>60.034623000000003</v>
      </c>
      <c r="GL16" s="709">
        <f t="shared" si="62"/>
        <v>8.6794440000000002</v>
      </c>
      <c r="GM16" s="709">
        <f t="shared" si="63"/>
        <v>12.566763</v>
      </c>
      <c r="GN16" s="709">
        <f t="shared" si="64"/>
        <v>13.897929</v>
      </c>
      <c r="GO16" s="709">
        <f t="shared" si="65"/>
        <v>28.249300999999999</v>
      </c>
      <c r="GP16" s="709">
        <f t="shared" si="66"/>
        <v>180.658075</v>
      </c>
      <c r="GQ16" s="656">
        <f t="shared" si="90"/>
        <v>453.92490534894125</v>
      </c>
      <c r="GR16" s="530"/>
      <c r="GU16" s="543">
        <f t="shared" si="91"/>
        <v>13</v>
      </c>
      <c r="GV16" s="669">
        <f t="shared" si="67"/>
        <v>13</v>
      </c>
      <c r="GW16" s="655" t="s">
        <v>402</v>
      </c>
      <c r="GX16" s="658" t="s">
        <v>379</v>
      </c>
      <c r="GY16" s="646">
        <f t="shared" si="68"/>
        <v>820.05199798902174</v>
      </c>
      <c r="GZ16" s="656">
        <f t="shared" si="69"/>
        <v>453.92490534894125</v>
      </c>
      <c r="HA16" s="709">
        <f t="shared" si="92"/>
        <v>180.658075</v>
      </c>
      <c r="HB16" s="646">
        <f t="shared" si="70"/>
        <v>820.05199594896931</v>
      </c>
      <c r="HC16" s="749">
        <f t="shared" si="71"/>
        <v>-2.0400524363139994E-6</v>
      </c>
      <c r="HD16" s="549"/>
      <c r="HG16" s="549"/>
      <c r="HH16" s="549"/>
      <c r="HI16" s="549"/>
      <c r="HJ16" s="549"/>
      <c r="HK16" s="549"/>
      <c r="HL16" s="549"/>
      <c r="HM16" s="549"/>
      <c r="HP16" s="545">
        <f t="shared" si="123"/>
        <v>13</v>
      </c>
      <c r="HQ16" s="761">
        <f t="shared" si="72"/>
        <v>13</v>
      </c>
      <c r="HR16" s="655" t="s">
        <v>402</v>
      </c>
      <c r="HS16" s="656">
        <f t="shared" si="93"/>
        <v>453.92490534894125</v>
      </c>
      <c r="HT16" s="756">
        <f t="shared" si="94"/>
        <v>180.658075</v>
      </c>
      <c r="HU16" s="756">
        <v>110.337915</v>
      </c>
      <c r="HV16" s="647">
        <f t="shared" si="95"/>
        <v>0.63731637488346604</v>
      </c>
      <c r="HW16" s="756">
        <f t="shared" si="96"/>
        <v>70.320160000000001</v>
      </c>
      <c r="HX16" s="648">
        <v>10</v>
      </c>
      <c r="IO16" s="545">
        <v>13</v>
      </c>
      <c r="IP16" s="761">
        <v>13</v>
      </c>
      <c r="IQ16" s="655" t="s">
        <v>402</v>
      </c>
      <c r="IR16" s="769">
        <f t="shared" si="97"/>
        <v>820.05199798902174</v>
      </c>
      <c r="IS16" s="770">
        <f t="shared" si="97"/>
        <v>453.92490534894125</v>
      </c>
      <c r="IT16" s="771">
        <f t="shared" si="97"/>
        <v>180.658075</v>
      </c>
      <c r="IU16" s="656">
        <f t="shared" si="98"/>
        <v>66.257970476184568</v>
      </c>
      <c r="IV16" s="656">
        <f t="shared" si="99"/>
        <v>387.66693487275666</v>
      </c>
      <c r="IW16" s="769">
        <f t="shared" si="100"/>
        <v>0.99386955714276848</v>
      </c>
      <c r="IX16" s="769">
        <f t="shared" si="101"/>
        <v>819.05812843187903</v>
      </c>
      <c r="IY16" s="550">
        <f t="shared" si="102"/>
        <v>180.43912523421744</v>
      </c>
      <c r="IZ16" s="550">
        <f t="shared" si="103"/>
        <v>181.93912523421744</v>
      </c>
      <c r="JA16" s="769">
        <f t="shared" si="104"/>
        <v>820.05199798902186</v>
      </c>
      <c r="JB16" s="746">
        <f t="shared" si="105"/>
        <v>0.2189497657825541</v>
      </c>
      <c r="JF16" s="545">
        <f t="shared" si="124"/>
        <v>13</v>
      </c>
      <c r="JG16" s="761">
        <f t="shared" si="73"/>
        <v>13</v>
      </c>
      <c r="JH16" s="655" t="s">
        <v>402</v>
      </c>
      <c r="JI16" s="656">
        <f t="shared" si="106"/>
        <v>453.92490534894125</v>
      </c>
      <c r="JJ16" s="756">
        <f t="shared" si="107"/>
        <v>180.43912523421744</v>
      </c>
      <c r="JK16" s="756">
        <v>110.11568161602861</v>
      </c>
      <c r="JL16" s="647">
        <f t="shared" si="127"/>
        <v>0.63863241444034657</v>
      </c>
      <c r="JM16" s="756">
        <f t="shared" si="109"/>
        <v>70.323443618188833</v>
      </c>
      <c r="JN16" s="648">
        <v>10</v>
      </c>
      <c r="JS16" s="756">
        <v>181.29591129167954</v>
      </c>
      <c r="JT16" s="756">
        <f t="shared" si="110"/>
        <v>-0.85678605746210224</v>
      </c>
      <c r="JU16" s="1009">
        <v>849</v>
      </c>
      <c r="JV16" s="1009">
        <f t="shared" si="125"/>
        <v>395.07509465105875</v>
      </c>
      <c r="JW16" s="1069">
        <f t="shared" si="111"/>
        <v>-4.7258984019979047E-3</v>
      </c>
      <c r="JX16" s="997">
        <v>1539.2022868663594</v>
      </c>
      <c r="JY16" s="997">
        <f t="shared" si="112"/>
        <v>819.05812843187914</v>
      </c>
      <c r="JZ16" s="516"/>
      <c r="KA16" s="516"/>
      <c r="KB16" s="516"/>
      <c r="KC16" s="516"/>
      <c r="KE16" s="516"/>
      <c r="KF16" s="516"/>
    </row>
    <row r="17" spans="2:292" ht="16.5" x14ac:dyDescent="0.3">
      <c r="I17" s="222">
        <f>+I16+1</f>
        <v>14</v>
      </c>
      <c r="J17" s="659">
        <f t="shared" si="1"/>
        <v>14</v>
      </c>
      <c r="K17" s="660" t="s">
        <v>403</v>
      </c>
      <c r="L17" s="991">
        <v>3519868</v>
      </c>
      <c r="M17" s="662">
        <f t="shared" si="2"/>
        <v>1.6010604183186743E-3</v>
      </c>
      <c r="N17" s="661">
        <v>1177</v>
      </c>
      <c r="O17" s="661">
        <f t="shared" si="75"/>
        <v>2990.5420560747662</v>
      </c>
      <c r="P17" s="662">
        <f t="shared" si="3"/>
        <v>1.6746305692627076E-3</v>
      </c>
      <c r="Q17" s="663" t="s">
        <v>384</v>
      </c>
      <c r="U17" s="551">
        <f t="shared" si="114"/>
        <v>14</v>
      </c>
      <c r="V17" s="670">
        <f t="shared" si="4"/>
        <v>14</v>
      </c>
      <c r="W17" s="660" t="s">
        <v>403</v>
      </c>
      <c r="X17" s="671">
        <f t="shared" si="76"/>
        <v>216982.88366460818</v>
      </c>
      <c r="Y17" s="662">
        <f t="shared" si="5"/>
        <v>2.2413558292624287E-3</v>
      </c>
      <c r="AC17" s="551">
        <f>+AC16+1</f>
        <v>14</v>
      </c>
      <c r="AD17" s="681">
        <v>14</v>
      </c>
      <c r="AE17" s="682" t="s">
        <v>403</v>
      </c>
      <c r="AF17" s="683">
        <v>5.35</v>
      </c>
      <c r="AP17" s="551">
        <f t="shared" si="78"/>
        <v>14</v>
      </c>
      <c r="AQ17" s="697">
        <f t="shared" si="6"/>
        <v>14</v>
      </c>
      <c r="AR17" s="660" t="s">
        <v>403</v>
      </c>
      <c r="AS17" s="660">
        <f t="shared" si="7"/>
        <v>5.35</v>
      </c>
      <c r="AT17" s="698">
        <f t="shared" si="79"/>
        <v>3519868</v>
      </c>
      <c r="AU17" s="698">
        <f t="shared" si="116"/>
        <v>5230.9149444444438</v>
      </c>
      <c r="AV17" s="699">
        <f t="shared" si="8"/>
        <v>5391.8910776705043</v>
      </c>
      <c r="AW17" s="700">
        <f t="shared" si="9"/>
        <v>21.592508896755891</v>
      </c>
      <c r="AX17" s="671">
        <f t="shared" si="126"/>
        <v>116424.45606493908</v>
      </c>
      <c r="AY17" s="465">
        <f t="shared" si="80"/>
        <v>2.7622487525703031E-3</v>
      </c>
      <c r="AZ17" s="553">
        <f t="shared" si="10"/>
        <v>3.3076370000000002</v>
      </c>
      <c r="BK17" s="222">
        <f t="shared" si="117"/>
        <v>14</v>
      </c>
      <c r="BL17" s="663">
        <f t="shared" si="11"/>
        <v>14</v>
      </c>
      <c r="BM17" s="660" t="s">
        <v>403</v>
      </c>
      <c r="BN17" s="662">
        <f t="shared" si="81"/>
        <v>2.7622487525703031E-3</v>
      </c>
      <c r="BO17" s="671">
        <f t="shared" si="82"/>
        <v>26480.885716485365</v>
      </c>
      <c r="BP17" s="662">
        <f t="shared" si="83"/>
        <v>1.6010604183186743E-3</v>
      </c>
      <c r="BQ17" s="671">
        <f t="shared" si="84"/>
        <v>15348.906546969647</v>
      </c>
      <c r="BR17" s="710">
        <f t="shared" si="12"/>
        <v>41829.792263455012</v>
      </c>
      <c r="BS17" s="711">
        <f t="shared" si="13"/>
        <v>1.188391</v>
      </c>
      <c r="BV17" s="15"/>
      <c r="BW17" s="190"/>
      <c r="BX17" s="190"/>
      <c r="BY17" s="190"/>
      <c r="BZ17" s="190"/>
      <c r="CA17" s="190"/>
      <c r="CB17" s="190"/>
      <c r="CC17" s="190"/>
      <c r="CD17" s="190"/>
      <c r="CH17" s="222">
        <f t="shared" si="118"/>
        <v>14</v>
      </c>
      <c r="CI17" s="681">
        <f t="shared" si="15"/>
        <v>14</v>
      </c>
      <c r="CJ17" s="660" t="s">
        <v>403</v>
      </c>
      <c r="CK17" s="723">
        <f t="shared" si="16"/>
        <v>1.6010604183186743E-3</v>
      </c>
      <c r="CL17" s="650">
        <f t="shared" si="17"/>
        <v>9384.9979381918874</v>
      </c>
      <c r="CM17" s="723">
        <f t="shared" si="18"/>
        <v>1.6746305692627076E-3</v>
      </c>
      <c r="CN17" s="650">
        <f t="shared" si="19"/>
        <v>32172.965574443228</v>
      </c>
      <c r="CO17" s="650">
        <f t="shared" si="20"/>
        <v>41557.963512635113</v>
      </c>
      <c r="CP17" s="723">
        <f t="shared" si="21"/>
        <v>1.6574313238826713E-3</v>
      </c>
      <c r="CQ17" s="724">
        <f t="shared" si="22"/>
        <v>1.1806680000000001</v>
      </c>
      <c r="DD17" s="15"/>
      <c r="DG17" s="551">
        <f t="shared" si="119"/>
        <v>14</v>
      </c>
      <c r="DH17" s="677">
        <f t="shared" si="24"/>
        <v>14</v>
      </c>
      <c r="DI17" s="660" t="s">
        <v>403</v>
      </c>
      <c r="DJ17" s="723">
        <f t="shared" si="25"/>
        <v>1.6574313238826713E-3</v>
      </c>
      <c r="DK17" s="650">
        <f t="shared" si="85"/>
        <v>624.34565262875685</v>
      </c>
      <c r="DL17" s="723">
        <f t="shared" si="26"/>
        <v>1.6746305692627076E-3</v>
      </c>
      <c r="DM17" s="650">
        <f t="shared" si="27"/>
        <v>4099.7225616486949</v>
      </c>
      <c r="DN17" s="723">
        <f t="shared" si="28"/>
        <v>1.6010604183186743E-3</v>
      </c>
      <c r="DO17" s="650">
        <f t="shared" si="29"/>
        <v>5681.9457021112385</v>
      </c>
      <c r="DP17" s="650">
        <f t="shared" si="86"/>
        <v>10406.013916388689</v>
      </c>
      <c r="DQ17" s="723">
        <f t="shared" si="30"/>
        <v>1.6326503117351716E-3</v>
      </c>
      <c r="DR17" s="724">
        <f t="shared" si="31"/>
        <v>0.29563600000000001</v>
      </c>
      <c r="DV17" s="551">
        <f t="shared" si="120"/>
        <v>14</v>
      </c>
      <c r="DW17" s="677">
        <f t="shared" si="32"/>
        <v>14</v>
      </c>
      <c r="DX17" s="660" t="s">
        <v>403</v>
      </c>
      <c r="DY17" s="723">
        <f t="shared" si="33"/>
        <v>1.6746305692627076E-3</v>
      </c>
      <c r="DZ17" s="650">
        <f t="shared" si="34"/>
        <v>6764.6579071903107</v>
      </c>
      <c r="EA17" s="724">
        <f t="shared" si="35"/>
        <v>0.19218499999999999</v>
      </c>
      <c r="EM17" s="551">
        <f t="shared" si="121"/>
        <v>14</v>
      </c>
      <c r="EN17" s="677">
        <f t="shared" si="36"/>
        <v>14</v>
      </c>
      <c r="EO17" s="660" t="s">
        <v>403</v>
      </c>
      <c r="EP17" s="723">
        <f t="shared" si="37"/>
        <v>2.2413558292624287E-3</v>
      </c>
      <c r="EQ17" s="650">
        <f t="shared" si="38"/>
        <v>17651.93792254855</v>
      </c>
      <c r="ER17" s="723">
        <f t="shared" si="39"/>
        <v>1.6574313238826713E-3</v>
      </c>
      <c r="ES17" s="650">
        <f t="shared" si="40"/>
        <v>1684.949987181413</v>
      </c>
      <c r="ET17" s="723">
        <f t="shared" si="41"/>
        <v>1.6010604183186743E-3</v>
      </c>
      <c r="EU17" s="650">
        <f t="shared" si="42"/>
        <v>6890.1624907460809</v>
      </c>
      <c r="EV17" s="650">
        <f t="shared" si="43"/>
        <v>26227.050400476044</v>
      </c>
      <c r="EW17" s="723">
        <f t="shared" si="44"/>
        <v>1.9875504774772767E-3</v>
      </c>
      <c r="EX17" s="724">
        <f t="shared" si="45"/>
        <v>0.74511499999999997</v>
      </c>
      <c r="FH17" s="551">
        <f t="shared" si="122"/>
        <v>14</v>
      </c>
      <c r="FI17" s="670">
        <f t="shared" si="46"/>
        <v>14</v>
      </c>
      <c r="FJ17" s="660" t="s">
        <v>403</v>
      </c>
      <c r="FK17" s="723">
        <f t="shared" si="47"/>
        <v>2.2413558292624287E-3</v>
      </c>
      <c r="FL17" s="650">
        <f t="shared" si="48"/>
        <v>44253.681183993387</v>
      </c>
      <c r="FM17" s="724">
        <f t="shared" si="49"/>
        <v>1.2572540000000001</v>
      </c>
      <c r="FQ17" s="222">
        <v>14</v>
      </c>
      <c r="FR17" s="670">
        <v>14</v>
      </c>
      <c r="FS17" s="660" t="s">
        <v>403</v>
      </c>
      <c r="FT17" s="650">
        <f t="shared" si="50"/>
        <v>116424.45606493908</v>
      </c>
      <c r="FU17" s="650">
        <f t="shared" si="51"/>
        <v>41829.792263455012</v>
      </c>
      <c r="FV17" s="650">
        <f t="shared" si="52"/>
        <v>41557.963512635113</v>
      </c>
      <c r="FW17" s="650">
        <f t="shared" si="88"/>
        <v>10406.013916388689</v>
      </c>
      <c r="FX17" s="650">
        <f t="shared" si="53"/>
        <v>6764.6579071903107</v>
      </c>
      <c r="FY17" s="650">
        <f t="shared" si="54"/>
        <v>26227.050400476044</v>
      </c>
      <c r="FZ17" s="650">
        <f t="shared" si="55"/>
        <v>44253.681183993387</v>
      </c>
      <c r="GA17" s="650">
        <f t="shared" si="56"/>
        <v>287463.61524907761</v>
      </c>
      <c r="GB17" s="747">
        <f t="shared" si="57"/>
        <v>8.1668859999999999</v>
      </c>
      <c r="GF17" s="551">
        <f t="shared" si="89"/>
        <v>14</v>
      </c>
      <c r="GG17" s="670">
        <f t="shared" si="58"/>
        <v>14</v>
      </c>
      <c r="GH17" s="660" t="s">
        <v>403</v>
      </c>
      <c r="GI17" s="724">
        <f t="shared" si="59"/>
        <v>3.3076370000000002</v>
      </c>
      <c r="GJ17" s="724">
        <f t="shared" si="60"/>
        <v>1.188391</v>
      </c>
      <c r="GK17" s="724">
        <f t="shared" si="61"/>
        <v>1.1806680000000001</v>
      </c>
      <c r="GL17" s="724">
        <f t="shared" si="62"/>
        <v>0.29563600000000001</v>
      </c>
      <c r="GM17" s="724">
        <f t="shared" si="63"/>
        <v>0.19218499999999999</v>
      </c>
      <c r="GN17" s="724">
        <f t="shared" si="64"/>
        <v>0.74511499999999997</v>
      </c>
      <c r="GO17" s="724">
        <f t="shared" si="65"/>
        <v>1.2572540000000001</v>
      </c>
      <c r="GP17" s="724">
        <f t="shared" si="66"/>
        <v>8.1668859999999999</v>
      </c>
      <c r="GQ17" s="661">
        <f t="shared" si="90"/>
        <v>3519868</v>
      </c>
      <c r="GR17" s="530"/>
      <c r="GU17" s="222">
        <f t="shared" si="91"/>
        <v>14</v>
      </c>
      <c r="GV17" s="670">
        <f t="shared" si="67"/>
        <v>14</v>
      </c>
      <c r="GW17" s="660" t="s">
        <v>403</v>
      </c>
      <c r="GX17" s="663" t="s">
        <v>384</v>
      </c>
      <c r="GY17" s="671">
        <f t="shared" si="68"/>
        <v>287463.61524907761</v>
      </c>
      <c r="GZ17" s="661">
        <f t="shared" si="69"/>
        <v>3519868</v>
      </c>
      <c r="HA17" s="724">
        <f t="shared" si="92"/>
        <v>8.1668859999999999</v>
      </c>
      <c r="HB17" s="650">
        <f t="shared" si="70"/>
        <v>287463.60691048001</v>
      </c>
      <c r="HC17" s="750">
        <f t="shared" si="71"/>
        <v>-8.3385976031422615E-3</v>
      </c>
      <c r="HD17" s="549"/>
      <c r="HG17" s="549"/>
      <c r="HH17" s="549"/>
      <c r="HI17" s="549"/>
      <c r="HJ17" s="549"/>
      <c r="HK17" s="549"/>
      <c r="HL17" s="549"/>
      <c r="HM17" s="549"/>
      <c r="HP17" s="551">
        <f>+HP16+1</f>
        <v>14</v>
      </c>
      <c r="HQ17" s="762">
        <f t="shared" si="72"/>
        <v>14</v>
      </c>
      <c r="HR17" s="660" t="s">
        <v>403</v>
      </c>
      <c r="HS17" s="661">
        <f t="shared" si="93"/>
        <v>3519868</v>
      </c>
      <c r="HT17" s="757">
        <f t="shared" si="94"/>
        <v>8.1668859999999999</v>
      </c>
      <c r="HU17" s="757">
        <v>7.1058779999999997</v>
      </c>
      <c r="HV17" s="651">
        <f t="shared" si="95"/>
        <v>0.14931413120236514</v>
      </c>
      <c r="HW17" s="757">
        <f t="shared" si="96"/>
        <v>1.0610080000000002</v>
      </c>
      <c r="HX17" s="652">
        <v>10</v>
      </c>
      <c r="IO17" s="551">
        <v>14</v>
      </c>
      <c r="IP17" s="762">
        <v>14</v>
      </c>
      <c r="IQ17" s="660" t="s">
        <v>403</v>
      </c>
      <c r="IR17" s="772">
        <f t="shared" si="97"/>
        <v>287463.61524907761</v>
      </c>
      <c r="IS17" s="773">
        <f t="shared" si="97"/>
        <v>3519868</v>
      </c>
      <c r="IT17" s="774">
        <f t="shared" si="97"/>
        <v>8.1668859999999999</v>
      </c>
      <c r="IU17" s="991">
        <v>0</v>
      </c>
      <c r="IV17" s="661">
        <f t="shared" si="99"/>
        <v>3519868</v>
      </c>
      <c r="IW17" s="772">
        <f t="shared" si="100"/>
        <v>0</v>
      </c>
      <c r="IX17" s="772">
        <f t="shared" si="101"/>
        <v>287463.61524907761</v>
      </c>
      <c r="IY17" s="455">
        <f>IT17</f>
        <v>8.1668859999999999</v>
      </c>
      <c r="IZ17" s="555">
        <f t="shared" ref="IZ17" si="128">IY17</f>
        <v>8.1668859999999999</v>
      </c>
      <c r="JA17" s="772">
        <f t="shared" si="104"/>
        <v>287463.60691048001</v>
      </c>
      <c r="JB17" s="778">
        <f t="shared" si="105"/>
        <v>0</v>
      </c>
      <c r="JF17" s="551">
        <f>+JF16+1</f>
        <v>14</v>
      </c>
      <c r="JG17" s="762">
        <f t="shared" si="73"/>
        <v>14</v>
      </c>
      <c r="JH17" s="660" t="s">
        <v>403</v>
      </c>
      <c r="JI17" s="661">
        <f t="shared" si="106"/>
        <v>3519868</v>
      </c>
      <c r="JJ17" s="757">
        <f t="shared" si="107"/>
        <v>8.1668859999999999</v>
      </c>
      <c r="JK17" s="757">
        <v>7.1058779999999997</v>
      </c>
      <c r="JL17" s="651">
        <f t="shared" si="127"/>
        <v>0.14931413120236514</v>
      </c>
      <c r="JM17" s="757">
        <f t="shared" si="109"/>
        <v>1.0610080000000002</v>
      </c>
      <c r="JN17" s="652">
        <v>10</v>
      </c>
      <c r="JS17" s="757">
        <v>8.1987249999999996</v>
      </c>
      <c r="JT17" s="757">
        <f t="shared" si="110"/>
        <v>-3.1838999999999729E-2</v>
      </c>
      <c r="JU17" s="1010">
        <v>3903996</v>
      </c>
      <c r="JV17" s="1010">
        <f t="shared" si="125"/>
        <v>384128</v>
      </c>
      <c r="JW17" s="1069">
        <f t="shared" si="111"/>
        <v>-3.8834087007430704E-3</v>
      </c>
      <c r="JX17" s="997">
        <v>320077.89605099999</v>
      </c>
      <c r="JY17" s="997">
        <f t="shared" si="112"/>
        <v>287463.60691048001</v>
      </c>
      <c r="JZ17" s="516"/>
      <c r="KA17" s="516"/>
      <c r="KB17" s="516"/>
      <c r="KC17" s="516"/>
      <c r="KE17" s="516"/>
      <c r="KF17" s="516"/>
    </row>
    <row r="18" spans="2:292" ht="16.5" x14ac:dyDescent="0.3">
      <c r="I18" s="543">
        <f t="shared" si="113"/>
        <v>15</v>
      </c>
      <c r="J18" s="654">
        <f t="shared" si="1"/>
        <v>15</v>
      </c>
      <c r="K18" s="655" t="s">
        <v>404</v>
      </c>
      <c r="L18" s="991">
        <v>108762878.36271597</v>
      </c>
      <c r="M18" s="657">
        <f t="shared" si="2"/>
        <v>4.9472292577151508E-2</v>
      </c>
      <c r="N18" s="656">
        <v>1642</v>
      </c>
      <c r="O18" s="656">
        <f t="shared" si="75"/>
        <v>66238.050159997554</v>
      </c>
      <c r="P18" s="657">
        <f t="shared" si="3"/>
        <v>3.7091691595162533E-2</v>
      </c>
      <c r="Q18" s="658" t="s">
        <v>379</v>
      </c>
      <c r="U18" s="545">
        <f t="shared" si="114"/>
        <v>15</v>
      </c>
      <c r="V18" s="669">
        <f t="shared" si="4"/>
        <v>15</v>
      </c>
      <c r="W18" s="655" t="s">
        <v>404</v>
      </c>
      <c r="X18" s="646">
        <f t="shared" si="76"/>
        <v>5036299.7341623772</v>
      </c>
      <c r="Y18" s="657">
        <f t="shared" si="5"/>
        <v>5.2023180706390712E-2</v>
      </c>
      <c r="AC18" s="545">
        <f t="shared" si="115"/>
        <v>15</v>
      </c>
      <c r="AD18" s="678">
        <v>15</v>
      </c>
      <c r="AE18" s="679" t="s">
        <v>404</v>
      </c>
      <c r="AF18" s="680">
        <v>3.79</v>
      </c>
      <c r="AP18" s="545">
        <f t="shared" si="78"/>
        <v>15</v>
      </c>
      <c r="AQ18" s="693">
        <f t="shared" si="6"/>
        <v>15</v>
      </c>
      <c r="AR18" s="655" t="s">
        <v>404</v>
      </c>
      <c r="AS18" s="655">
        <f t="shared" si="7"/>
        <v>3.79</v>
      </c>
      <c r="AT18" s="694">
        <f t="shared" si="79"/>
        <v>108762878.36271597</v>
      </c>
      <c r="AU18" s="694">
        <f t="shared" si="116"/>
        <v>114503.14138741487</v>
      </c>
      <c r="AV18" s="695">
        <f t="shared" si="8"/>
        <v>118026.86011321045</v>
      </c>
      <c r="AW18" s="696">
        <f t="shared" si="9"/>
        <v>21.592508896755891</v>
      </c>
      <c r="AX18" s="646">
        <f>AV18*AW18</f>
        <v>2548496.0270506595</v>
      </c>
      <c r="AY18" s="544">
        <f t="shared" si="80"/>
        <v>6.0464787292839321E-2</v>
      </c>
      <c r="AZ18" s="548">
        <f t="shared" si="10"/>
        <v>2.3431670000000002</v>
      </c>
      <c r="BK18" s="543">
        <f t="shared" si="117"/>
        <v>15</v>
      </c>
      <c r="BL18" s="658">
        <f t="shared" si="11"/>
        <v>15</v>
      </c>
      <c r="BM18" s="655" t="s">
        <v>404</v>
      </c>
      <c r="BN18" s="657">
        <f t="shared" si="81"/>
        <v>6.0464787292839321E-2</v>
      </c>
      <c r="BO18" s="646">
        <f t="shared" si="82"/>
        <v>579658.5556182717</v>
      </c>
      <c r="BP18" s="657">
        <f t="shared" si="83"/>
        <v>4.9472292577151508E-2</v>
      </c>
      <c r="BQ18" s="646">
        <f t="shared" si="84"/>
        <v>474276.66485469189</v>
      </c>
      <c r="BR18" s="708">
        <f t="shared" si="12"/>
        <v>1053935.2204729635</v>
      </c>
      <c r="BS18" s="709">
        <f t="shared" si="13"/>
        <v>0.96902100000000002</v>
      </c>
      <c r="BV18" s="15"/>
      <c r="BW18" s="190"/>
      <c r="BX18" s="190"/>
      <c r="BY18" s="190"/>
      <c r="BZ18" s="190"/>
      <c r="CA18" s="190"/>
      <c r="CB18" s="190"/>
      <c r="CC18" s="190"/>
      <c r="CD18" s="190"/>
      <c r="CH18" s="543">
        <f t="shared" si="118"/>
        <v>15</v>
      </c>
      <c r="CI18" s="678">
        <f t="shared" si="15"/>
        <v>15</v>
      </c>
      <c r="CJ18" s="655" t="s">
        <v>404</v>
      </c>
      <c r="CK18" s="657">
        <f t="shared" si="16"/>
        <v>4.9472292577151508E-2</v>
      </c>
      <c r="CL18" s="646">
        <f t="shared" si="17"/>
        <v>289993.65578081465</v>
      </c>
      <c r="CM18" s="657">
        <f t="shared" si="18"/>
        <v>3.7091691595162533E-2</v>
      </c>
      <c r="CN18" s="646">
        <f t="shared" si="19"/>
        <v>712604.76112915308</v>
      </c>
      <c r="CO18" s="646">
        <f t="shared" si="20"/>
        <v>1002598.4169099678</v>
      </c>
      <c r="CP18" s="657">
        <f t="shared" si="21"/>
        <v>3.9986031099828324E-2</v>
      </c>
      <c r="CQ18" s="709">
        <f t="shared" si="22"/>
        <v>0.92181999999999997</v>
      </c>
      <c r="DD18" s="15"/>
      <c r="DG18" s="545">
        <f t="shared" si="119"/>
        <v>15</v>
      </c>
      <c r="DH18" s="739">
        <f t="shared" si="24"/>
        <v>15</v>
      </c>
      <c r="DI18" s="655" t="s">
        <v>404</v>
      </c>
      <c r="DJ18" s="657">
        <f t="shared" si="25"/>
        <v>3.9986031099828324E-2</v>
      </c>
      <c r="DK18" s="646">
        <f t="shared" si="85"/>
        <v>15062.527371917431</v>
      </c>
      <c r="DL18" s="657">
        <f t="shared" si="26"/>
        <v>3.7091691595162533E-2</v>
      </c>
      <c r="DM18" s="646">
        <f t="shared" si="27"/>
        <v>90805.487295835817</v>
      </c>
      <c r="DN18" s="657">
        <f t="shared" si="28"/>
        <v>4.9472292577151508E-2</v>
      </c>
      <c r="DO18" s="646">
        <f t="shared" si="29"/>
        <v>175570.43879551208</v>
      </c>
      <c r="DP18" s="646">
        <f t="shared" si="86"/>
        <v>281438.45346326532</v>
      </c>
      <c r="DQ18" s="657">
        <f t="shared" si="30"/>
        <v>4.4156252574042945E-2</v>
      </c>
      <c r="DR18" s="709">
        <f t="shared" si="31"/>
        <v>0.25876300000000002</v>
      </c>
      <c r="DV18" s="545">
        <f t="shared" si="120"/>
        <v>15</v>
      </c>
      <c r="DW18" s="739">
        <f t="shared" si="32"/>
        <v>15</v>
      </c>
      <c r="DX18" s="655" t="s">
        <v>404</v>
      </c>
      <c r="DY18" s="657">
        <f t="shared" si="33"/>
        <v>3.7091691595162533E-2</v>
      </c>
      <c r="DZ18" s="646">
        <f t="shared" si="34"/>
        <v>149831.61626552077</v>
      </c>
      <c r="EA18" s="709">
        <f t="shared" si="35"/>
        <v>0.13775999999999999</v>
      </c>
      <c r="EM18" s="545">
        <f t="shared" si="121"/>
        <v>15</v>
      </c>
      <c r="EN18" s="739">
        <f t="shared" si="36"/>
        <v>15</v>
      </c>
      <c r="EO18" s="655" t="s">
        <v>404</v>
      </c>
      <c r="EP18" s="657">
        <f t="shared" si="37"/>
        <v>5.2023180706390712E-2</v>
      </c>
      <c r="EQ18" s="646">
        <f t="shared" si="38"/>
        <v>409711.81120533013</v>
      </c>
      <c r="ER18" s="657">
        <f t="shared" si="39"/>
        <v>3.9986031099828324E-2</v>
      </c>
      <c r="ES18" s="646">
        <f t="shared" si="40"/>
        <v>40649.927160336883</v>
      </c>
      <c r="ET18" s="657">
        <f t="shared" si="41"/>
        <v>4.9472292577151508E-2</v>
      </c>
      <c r="EU18" s="646">
        <f t="shared" si="42"/>
        <v>212903.97960388404</v>
      </c>
      <c r="EV18" s="646">
        <f t="shared" si="43"/>
        <v>663265.71796955098</v>
      </c>
      <c r="EW18" s="657">
        <f t="shared" si="44"/>
        <v>5.0263909754059193E-2</v>
      </c>
      <c r="EX18" s="709">
        <f t="shared" si="45"/>
        <v>0.60982700000000001</v>
      </c>
      <c r="FH18" s="545">
        <f t="shared" si="122"/>
        <v>15</v>
      </c>
      <c r="FI18" s="669">
        <f t="shared" si="46"/>
        <v>15</v>
      </c>
      <c r="FJ18" s="655" t="s">
        <v>404</v>
      </c>
      <c r="FK18" s="657">
        <f t="shared" si="47"/>
        <v>5.2023180706390712E-2</v>
      </c>
      <c r="FL18" s="646">
        <f t="shared" si="48"/>
        <v>1027153.8428217752</v>
      </c>
      <c r="FM18" s="709">
        <f t="shared" si="49"/>
        <v>0.94439700000000004</v>
      </c>
      <c r="FQ18" s="543">
        <v>15</v>
      </c>
      <c r="FR18" s="669">
        <v>15</v>
      </c>
      <c r="FS18" s="655" t="s">
        <v>404</v>
      </c>
      <c r="FT18" s="646">
        <f t="shared" si="50"/>
        <v>2548496.0270506595</v>
      </c>
      <c r="FU18" s="646">
        <f t="shared" si="51"/>
        <v>1053935.2204729635</v>
      </c>
      <c r="FV18" s="646">
        <f t="shared" si="52"/>
        <v>1002598.4169099678</v>
      </c>
      <c r="FW18" s="646">
        <f t="shared" si="88"/>
        <v>281438.45346326532</v>
      </c>
      <c r="FX18" s="646">
        <f t="shared" si="53"/>
        <v>149831.61626552077</v>
      </c>
      <c r="FY18" s="646">
        <f t="shared" si="54"/>
        <v>663265.71796955098</v>
      </c>
      <c r="FZ18" s="646">
        <f t="shared" si="55"/>
        <v>1027153.8428217752</v>
      </c>
      <c r="GA18" s="646">
        <f t="shared" si="56"/>
        <v>6726719.2949537029</v>
      </c>
      <c r="GB18" s="746">
        <f t="shared" si="57"/>
        <v>6.1847570000000003</v>
      </c>
      <c r="GF18" s="545">
        <f t="shared" si="89"/>
        <v>15</v>
      </c>
      <c r="GG18" s="669">
        <f t="shared" si="58"/>
        <v>15</v>
      </c>
      <c r="GH18" s="655" t="s">
        <v>404</v>
      </c>
      <c r="GI18" s="709">
        <f t="shared" si="59"/>
        <v>2.3431670000000002</v>
      </c>
      <c r="GJ18" s="709">
        <f t="shared" si="60"/>
        <v>0.96902100000000002</v>
      </c>
      <c r="GK18" s="709">
        <f t="shared" si="61"/>
        <v>0.92181999999999997</v>
      </c>
      <c r="GL18" s="709">
        <f t="shared" si="62"/>
        <v>0.25876300000000002</v>
      </c>
      <c r="GM18" s="709">
        <f t="shared" si="63"/>
        <v>0.13775999999999999</v>
      </c>
      <c r="GN18" s="709">
        <f t="shared" si="64"/>
        <v>0.60982700000000001</v>
      </c>
      <c r="GO18" s="709">
        <f t="shared" si="65"/>
        <v>0.94439700000000004</v>
      </c>
      <c r="GP18" s="709">
        <f t="shared" si="66"/>
        <v>6.1847570000000003</v>
      </c>
      <c r="GQ18" s="656">
        <f t="shared" si="90"/>
        <v>108762878.36271597</v>
      </c>
      <c r="GR18" s="530"/>
      <c r="GU18" s="543">
        <f t="shared" si="91"/>
        <v>15</v>
      </c>
      <c r="GV18" s="669">
        <f t="shared" si="67"/>
        <v>15</v>
      </c>
      <c r="GW18" s="655" t="s">
        <v>404</v>
      </c>
      <c r="GX18" s="658" t="s">
        <v>379</v>
      </c>
      <c r="GY18" s="646">
        <f t="shared" si="68"/>
        <v>6726719.2949537029</v>
      </c>
      <c r="GZ18" s="656">
        <f t="shared" si="69"/>
        <v>108762878.36271597</v>
      </c>
      <c r="HA18" s="709">
        <f t="shared" si="92"/>
        <v>6.1847570000000003</v>
      </c>
      <c r="HB18" s="646">
        <f t="shared" si="70"/>
        <v>6726719.7329395618</v>
      </c>
      <c r="HC18" s="749">
        <f t="shared" si="71"/>
        <v>0.43798585887998343</v>
      </c>
      <c r="HD18" s="549"/>
      <c r="HG18" s="549"/>
      <c r="HH18" s="549"/>
      <c r="HI18" s="549"/>
      <c r="HJ18" s="549"/>
      <c r="HK18" s="549"/>
      <c r="HL18" s="549"/>
      <c r="HM18" s="549"/>
      <c r="HP18" s="545">
        <f t="shared" si="123"/>
        <v>15</v>
      </c>
      <c r="HQ18" s="761">
        <f t="shared" si="72"/>
        <v>15</v>
      </c>
      <c r="HR18" s="655" t="s">
        <v>404</v>
      </c>
      <c r="HS18" s="656">
        <f t="shared" si="93"/>
        <v>108762878.36271597</v>
      </c>
      <c r="HT18" s="756">
        <f t="shared" si="94"/>
        <v>6.1847570000000003</v>
      </c>
      <c r="HU18" s="756">
        <v>5.4117150000000001</v>
      </c>
      <c r="HV18" s="647">
        <f t="shared" si="95"/>
        <v>0.14284602940103097</v>
      </c>
      <c r="HW18" s="756">
        <f t="shared" si="96"/>
        <v>0.77304200000000023</v>
      </c>
      <c r="HX18" s="648">
        <v>10</v>
      </c>
      <c r="IO18" s="545">
        <v>15</v>
      </c>
      <c r="IP18" s="761">
        <v>15</v>
      </c>
      <c r="IQ18" s="655" t="s">
        <v>404</v>
      </c>
      <c r="IR18" s="769">
        <f t="shared" si="97"/>
        <v>6726719.2949537029</v>
      </c>
      <c r="IS18" s="770">
        <f t="shared" si="97"/>
        <v>108762878.36271597</v>
      </c>
      <c r="IT18" s="771">
        <f t="shared" si="97"/>
        <v>6.1847570000000003</v>
      </c>
      <c r="IU18" s="656">
        <f t="shared" si="98"/>
        <v>15875770.416082321</v>
      </c>
      <c r="IV18" s="656">
        <f t="shared" si="99"/>
        <v>92887107.946633652</v>
      </c>
      <c r="IW18" s="769">
        <f t="shared" si="100"/>
        <v>238136.55624123479</v>
      </c>
      <c r="IX18" s="769">
        <f>IR18-IW18</f>
        <v>6488582.7387124682</v>
      </c>
      <c r="IY18" s="550">
        <f t="shared" si="102"/>
        <v>5.9658063820943896</v>
      </c>
      <c r="IZ18" s="550">
        <f>IY18+1.5</f>
        <v>7.4658063820943896</v>
      </c>
      <c r="JA18" s="769">
        <f>(IY18*IV18+IZ18*IU18)/100</f>
        <v>6726719.2949537029</v>
      </c>
      <c r="JB18" s="746">
        <f>IT18-IY18</f>
        <v>0.21895061790561066</v>
      </c>
      <c r="JF18" s="545">
        <f t="shared" si="124"/>
        <v>15</v>
      </c>
      <c r="JG18" s="761">
        <f t="shared" si="73"/>
        <v>15</v>
      </c>
      <c r="JH18" s="655" t="s">
        <v>404</v>
      </c>
      <c r="JI18" s="656">
        <f t="shared" si="106"/>
        <v>108762878.36271597</v>
      </c>
      <c r="JJ18" s="756">
        <f t="shared" si="107"/>
        <v>5.9658063820943896</v>
      </c>
      <c r="JK18" s="756">
        <v>5.1894820836816677</v>
      </c>
      <c r="JL18" s="647">
        <f t="shared" si="127"/>
        <v>0.14959571801083471</v>
      </c>
      <c r="JM18" s="756">
        <f t="shared" si="109"/>
        <v>0.77632429841272188</v>
      </c>
      <c r="JN18" s="648">
        <v>10</v>
      </c>
      <c r="JS18" s="756">
        <v>5.9887880357863379</v>
      </c>
      <c r="JT18" s="756">
        <f t="shared" si="110"/>
        <v>-2.2981653691948267E-2</v>
      </c>
      <c r="JU18" s="1009">
        <v>98512295</v>
      </c>
      <c r="JV18" s="1009">
        <f t="shared" si="125"/>
        <v>-10250583.362715974</v>
      </c>
      <c r="JW18" s="1069">
        <f t="shared" si="111"/>
        <v>-3.8374465007978424E-3</v>
      </c>
      <c r="JX18" s="997">
        <v>5899692.5367385419</v>
      </c>
      <c r="JY18" s="997">
        <f t="shared" si="112"/>
        <v>6488582.7387124682</v>
      </c>
      <c r="JZ18" s="516"/>
      <c r="KA18" s="516"/>
      <c r="KB18" s="516"/>
      <c r="KC18" s="516"/>
      <c r="KE18" s="516"/>
      <c r="KF18" s="516"/>
    </row>
    <row r="19" spans="2:292" ht="16.5" x14ac:dyDescent="0.3">
      <c r="B19" s="18"/>
      <c r="I19" s="222">
        <f t="shared" si="113"/>
        <v>16</v>
      </c>
      <c r="J19" s="659">
        <f t="shared" si="1"/>
        <v>16</v>
      </c>
      <c r="K19" s="660" t="s">
        <v>405</v>
      </c>
      <c r="L19" s="991">
        <v>10750834.736169614</v>
      </c>
      <c r="M19" s="662">
        <f t="shared" si="2"/>
        <v>4.8901651880032589E-3</v>
      </c>
      <c r="N19" s="661">
        <v>284</v>
      </c>
      <c r="O19" s="661">
        <f t="shared" si="75"/>
        <v>37855.051887921174</v>
      </c>
      <c r="P19" s="662">
        <f t="shared" si="3"/>
        <v>2.1197905230513795E-2</v>
      </c>
      <c r="Q19" s="663" t="s">
        <v>379</v>
      </c>
      <c r="U19" s="551">
        <f t="shared" si="114"/>
        <v>16</v>
      </c>
      <c r="V19" s="670">
        <f t="shared" si="4"/>
        <v>16</v>
      </c>
      <c r="W19" s="660" t="s">
        <v>405</v>
      </c>
      <c r="X19" s="671">
        <f t="shared" si="76"/>
        <v>1421732.2027044902</v>
      </c>
      <c r="Y19" s="662">
        <f t="shared" si="5"/>
        <v>1.4685986776299747E-2</v>
      </c>
      <c r="AC19" s="551">
        <f t="shared" si="115"/>
        <v>16</v>
      </c>
      <c r="AD19" s="681">
        <v>16</v>
      </c>
      <c r="AE19" s="682" t="s">
        <v>405</v>
      </c>
      <c r="AF19" s="683">
        <v>9.5299999999999994</v>
      </c>
      <c r="AP19" s="551">
        <f t="shared" si="78"/>
        <v>16</v>
      </c>
      <c r="AQ19" s="697">
        <f t="shared" si="6"/>
        <v>16</v>
      </c>
      <c r="AR19" s="660" t="s">
        <v>405</v>
      </c>
      <c r="AS19" s="660">
        <f t="shared" si="7"/>
        <v>9.5299999999999994</v>
      </c>
      <c r="AT19" s="698">
        <f t="shared" si="79"/>
        <v>10750834.736169614</v>
      </c>
      <c r="AU19" s="698">
        <f t="shared" si="116"/>
        <v>28459.848621026784</v>
      </c>
      <c r="AV19" s="699">
        <f t="shared" si="8"/>
        <v>29335.671767047843</v>
      </c>
      <c r="AW19" s="700">
        <f t="shared" si="9"/>
        <v>21.592508896755891</v>
      </c>
      <c r="AX19" s="671">
        <f t="shared" si="126"/>
        <v>633430.75362229114</v>
      </c>
      <c r="AY19" s="465">
        <f t="shared" si="80"/>
        <v>1.5028571901224081E-2</v>
      </c>
      <c r="AZ19" s="553">
        <f t="shared" si="10"/>
        <v>5.8919220000000001</v>
      </c>
      <c r="BK19" s="222">
        <f t="shared" si="117"/>
        <v>16</v>
      </c>
      <c r="BL19" s="663">
        <f t="shared" si="11"/>
        <v>16</v>
      </c>
      <c r="BM19" s="660" t="s">
        <v>405</v>
      </c>
      <c r="BN19" s="662">
        <f t="shared" si="81"/>
        <v>1.5028571901224081E-2</v>
      </c>
      <c r="BO19" s="671">
        <f t="shared" si="82"/>
        <v>144074.60393564581</v>
      </c>
      <c r="BP19" s="662">
        <f t="shared" si="83"/>
        <v>4.8901651880032589E-3</v>
      </c>
      <c r="BQ19" s="671">
        <f t="shared" si="84"/>
        <v>46880.609632913074</v>
      </c>
      <c r="BR19" s="710">
        <f t="shared" si="12"/>
        <v>190955.21356855889</v>
      </c>
      <c r="BS19" s="711">
        <f t="shared" si="13"/>
        <v>1.7761899999999999</v>
      </c>
      <c r="BV19" s="15"/>
      <c r="BW19" s="190"/>
      <c r="BX19" s="190"/>
      <c r="BY19" s="190"/>
      <c r="BZ19" s="190"/>
      <c r="CA19" s="190"/>
      <c r="CB19" s="190"/>
      <c r="CC19" s="190"/>
      <c r="CD19" s="190"/>
      <c r="CH19" s="222">
        <f t="shared" si="118"/>
        <v>16</v>
      </c>
      <c r="CI19" s="681">
        <f t="shared" si="15"/>
        <v>16</v>
      </c>
      <c r="CJ19" s="660" t="s">
        <v>405</v>
      </c>
      <c r="CK19" s="723">
        <f t="shared" si="16"/>
        <v>4.8901651880032589E-3</v>
      </c>
      <c r="CL19" s="650">
        <f t="shared" si="17"/>
        <v>28664.870907884484</v>
      </c>
      <c r="CM19" s="723">
        <f t="shared" si="18"/>
        <v>2.1197905230513795E-2</v>
      </c>
      <c r="CN19" s="650">
        <f t="shared" si="19"/>
        <v>407253.68791750615</v>
      </c>
      <c r="CO19" s="650">
        <f t="shared" si="20"/>
        <v>435918.55882539065</v>
      </c>
      <c r="CP19" s="723">
        <f t="shared" si="21"/>
        <v>1.7385478329305665E-2</v>
      </c>
      <c r="CQ19" s="724">
        <f t="shared" si="22"/>
        <v>4.0547420000000001</v>
      </c>
      <c r="DD19" s="15"/>
      <c r="DG19" s="551">
        <f t="shared" si="119"/>
        <v>16</v>
      </c>
      <c r="DH19" s="677">
        <f t="shared" si="24"/>
        <v>16</v>
      </c>
      <c r="DI19" s="660" t="s">
        <v>405</v>
      </c>
      <c r="DJ19" s="723">
        <f t="shared" si="25"/>
        <v>1.7385478329305665E-2</v>
      </c>
      <c r="DK19" s="650">
        <f t="shared" si="85"/>
        <v>6549.0181447432578</v>
      </c>
      <c r="DL19" s="723">
        <f t="shared" si="26"/>
        <v>2.1197905230513795E-2</v>
      </c>
      <c r="DM19" s="650">
        <f t="shared" si="27"/>
        <v>51895.34451857661</v>
      </c>
      <c r="DN19" s="723">
        <f t="shared" si="28"/>
        <v>4.8901651880032589E-3</v>
      </c>
      <c r="DO19" s="650">
        <f t="shared" si="29"/>
        <v>17354.531256083224</v>
      </c>
      <c r="DP19" s="650">
        <f t="shared" si="86"/>
        <v>75798.893919403083</v>
      </c>
      <c r="DQ19" s="723">
        <f t="shared" si="30"/>
        <v>1.1892458416934542E-2</v>
      </c>
      <c r="DR19" s="724">
        <f t="shared" si="31"/>
        <v>0.70505099999999998</v>
      </c>
      <c r="DV19" s="551">
        <f t="shared" si="120"/>
        <v>16</v>
      </c>
      <c r="DW19" s="677">
        <f t="shared" si="32"/>
        <v>16</v>
      </c>
      <c r="DX19" s="660" t="s">
        <v>405</v>
      </c>
      <c r="DY19" s="723">
        <f t="shared" si="33"/>
        <v>2.1197905230513795E-2</v>
      </c>
      <c r="DZ19" s="650">
        <f t="shared" si="34"/>
        <v>85628.782768846402</v>
      </c>
      <c r="EA19" s="724">
        <f t="shared" si="35"/>
        <v>0.796485</v>
      </c>
      <c r="EM19" s="551">
        <f t="shared" si="121"/>
        <v>16</v>
      </c>
      <c r="EN19" s="677">
        <f t="shared" si="36"/>
        <v>16</v>
      </c>
      <c r="EO19" s="660" t="s">
        <v>405</v>
      </c>
      <c r="EP19" s="723">
        <f t="shared" si="37"/>
        <v>1.4685986776299747E-2</v>
      </c>
      <c r="EQ19" s="650">
        <f t="shared" si="38"/>
        <v>115660.40676009923</v>
      </c>
      <c r="ER19" s="723">
        <f t="shared" si="39"/>
        <v>1.7385478329305665E-2</v>
      </c>
      <c r="ES19" s="650">
        <f t="shared" si="40"/>
        <v>17674.132898299198</v>
      </c>
      <c r="ET19" s="723">
        <f t="shared" si="41"/>
        <v>4.8901651880032589E-3</v>
      </c>
      <c r="EU19" s="650">
        <f t="shared" si="42"/>
        <v>21044.822772719293</v>
      </c>
      <c r="EV19" s="650">
        <f t="shared" si="43"/>
        <v>154379.36243111771</v>
      </c>
      <c r="EW19" s="723">
        <f t="shared" si="44"/>
        <v>1.1699248326721338E-2</v>
      </c>
      <c r="EX19" s="724">
        <f t="shared" si="45"/>
        <v>1.4359759999999999</v>
      </c>
      <c r="FH19" s="551">
        <f t="shared" si="122"/>
        <v>16</v>
      </c>
      <c r="FI19" s="670">
        <f t="shared" si="46"/>
        <v>16</v>
      </c>
      <c r="FJ19" s="660" t="s">
        <v>405</v>
      </c>
      <c r="FK19" s="723">
        <f t="shared" si="47"/>
        <v>1.4685986776299747E-2</v>
      </c>
      <c r="FL19" s="650">
        <f t="shared" si="48"/>
        <v>289962.42728874501</v>
      </c>
      <c r="FM19" s="724">
        <f t="shared" si="49"/>
        <v>2.6971150000000002</v>
      </c>
      <c r="FQ19" s="222">
        <v>16</v>
      </c>
      <c r="FR19" s="670">
        <v>16</v>
      </c>
      <c r="FS19" s="660" t="s">
        <v>405</v>
      </c>
      <c r="FT19" s="650">
        <f t="shared" si="50"/>
        <v>633430.75362229114</v>
      </c>
      <c r="FU19" s="650">
        <f t="shared" si="51"/>
        <v>190955.21356855889</v>
      </c>
      <c r="FV19" s="650">
        <f t="shared" si="52"/>
        <v>435918.55882539065</v>
      </c>
      <c r="FW19" s="650">
        <f t="shared" si="88"/>
        <v>75798.893919403083</v>
      </c>
      <c r="FX19" s="650">
        <f t="shared" si="53"/>
        <v>85628.782768846402</v>
      </c>
      <c r="FY19" s="650">
        <f t="shared" si="54"/>
        <v>154379.36243111771</v>
      </c>
      <c r="FZ19" s="650">
        <f t="shared" si="55"/>
        <v>289962.42728874501</v>
      </c>
      <c r="GA19" s="650">
        <f t="shared" si="56"/>
        <v>1866073.992424353</v>
      </c>
      <c r="GB19" s="747">
        <f t="shared" si="57"/>
        <v>17.357479999999999</v>
      </c>
      <c r="GF19" s="551">
        <f t="shared" si="89"/>
        <v>16</v>
      </c>
      <c r="GG19" s="670">
        <f t="shared" si="58"/>
        <v>16</v>
      </c>
      <c r="GH19" s="660" t="s">
        <v>405</v>
      </c>
      <c r="GI19" s="724">
        <f t="shared" si="59"/>
        <v>5.8919220000000001</v>
      </c>
      <c r="GJ19" s="724">
        <f t="shared" si="60"/>
        <v>1.7761899999999999</v>
      </c>
      <c r="GK19" s="724">
        <f t="shared" si="61"/>
        <v>4.0547420000000001</v>
      </c>
      <c r="GL19" s="724">
        <f t="shared" si="62"/>
        <v>0.70505099999999998</v>
      </c>
      <c r="GM19" s="724">
        <f t="shared" si="63"/>
        <v>0.796485</v>
      </c>
      <c r="GN19" s="724">
        <f t="shared" si="64"/>
        <v>1.4359759999999999</v>
      </c>
      <c r="GO19" s="724">
        <f t="shared" si="65"/>
        <v>2.6971150000000002</v>
      </c>
      <c r="GP19" s="724">
        <f t="shared" si="66"/>
        <v>17.357479999999999</v>
      </c>
      <c r="GQ19" s="661">
        <f t="shared" si="90"/>
        <v>10750834.736169614</v>
      </c>
      <c r="GR19" s="530"/>
      <c r="GU19" s="222">
        <f t="shared" si="91"/>
        <v>16</v>
      </c>
      <c r="GV19" s="670">
        <f t="shared" si="67"/>
        <v>16</v>
      </c>
      <c r="GW19" s="660" t="s">
        <v>405</v>
      </c>
      <c r="GX19" s="663" t="s">
        <v>379</v>
      </c>
      <c r="GY19" s="671">
        <f t="shared" si="68"/>
        <v>1866073.992424353</v>
      </c>
      <c r="GZ19" s="661">
        <f t="shared" si="69"/>
        <v>10750834.736169614</v>
      </c>
      <c r="HA19" s="724">
        <f t="shared" si="92"/>
        <v>17.357479999999999</v>
      </c>
      <c r="HB19" s="650">
        <f t="shared" si="70"/>
        <v>1866073.9891636935</v>
      </c>
      <c r="HC19" s="750">
        <f t="shared" si="71"/>
        <v>-3.2606595195829868E-3</v>
      </c>
      <c r="HD19" s="549"/>
      <c r="HG19" s="549"/>
      <c r="HH19" s="549"/>
      <c r="HI19" s="549"/>
      <c r="HJ19" s="549"/>
      <c r="HK19" s="549"/>
      <c r="HL19" s="549"/>
      <c r="HM19" s="549"/>
      <c r="HP19" s="551">
        <f t="shared" si="123"/>
        <v>16</v>
      </c>
      <c r="HQ19" s="762">
        <f t="shared" si="72"/>
        <v>16</v>
      </c>
      <c r="HR19" s="660" t="s">
        <v>405</v>
      </c>
      <c r="HS19" s="661">
        <f t="shared" si="93"/>
        <v>10750834.736169614</v>
      </c>
      <c r="HT19" s="757">
        <f t="shared" si="94"/>
        <v>17.357479999999999</v>
      </c>
      <c r="HU19" s="757">
        <v>15.408874000000001</v>
      </c>
      <c r="HV19" s="651">
        <f t="shared" si="95"/>
        <v>0.12645998662848412</v>
      </c>
      <c r="HW19" s="757">
        <f t="shared" si="96"/>
        <v>1.9486059999999981</v>
      </c>
      <c r="HX19" s="652">
        <v>25</v>
      </c>
      <c r="IO19" s="551">
        <v>16</v>
      </c>
      <c r="IP19" s="762">
        <v>16</v>
      </c>
      <c r="IQ19" s="660" t="s">
        <v>405</v>
      </c>
      <c r="IR19" s="772">
        <f t="shared" si="97"/>
        <v>1866073.992424353</v>
      </c>
      <c r="IS19" s="773">
        <f t="shared" si="97"/>
        <v>10750834.736169614</v>
      </c>
      <c r="IT19" s="774">
        <f t="shared" si="97"/>
        <v>17.357479999999999</v>
      </c>
      <c r="IU19" s="661">
        <f t="shared" si="98"/>
        <v>1569265.0527643652</v>
      </c>
      <c r="IV19" s="661">
        <f t="shared" si="99"/>
        <v>9181569.6834052484</v>
      </c>
      <c r="IW19" s="772">
        <f t="shared" si="100"/>
        <v>23538.975791465477</v>
      </c>
      <c r="IX19" s="772">
        <f t="shared" si="101"/>
        <v>1842535.0166328875</v>
      </c>
      <c r="IY19" s="455">
        <f t="shared" si="102"/>
        <v>17.138529815121682</v>
      </c>
      <c r="IZ19" s="555">
        <f t="shared" si="103"/>
        <v>18.638529815121682</v>
      </c>
      <c r="JA19" s="772">
        <f t="shared" si="104"/>
        <v>1866073.992424353</v>
      </c>
      <c r="JB19" s="778">
        <f t="shared" si="105"/>
        <v>0.21895018487831663</v>
      </c>
      <c r="JF19" s="551">
        <f t="shared" si="124"/>
        <v>16</v>
      </c>
      <c r="JG19" s="762">
        <f t="shared" si="73"/>
        <v>16</v>
      </c>
      <c r="JH19" s="660" t="s">
        <v>405</v>
      </c>
      <c r="JI19" s="661">
        <f t="shared" si="106"/>
        <v>10750834.736169614</v>
      </c>
      <c r="JJ19" s="757">
        <f t="shared" si="107"/>
        <v>17.138529815121682</v>
      </c>
      <c r="JK19" s="757">
        <v>15.186640462678744</v>
      </c>
      <c r="JL19" s="651">
        <f t="shared" si="127"/>
        <v>0.12852673751246813</v>
      </c>
      <c r="JM19" s="757">
        <f t="shared" si="109"/>
        <v>1.9518893524429384</v>
      </c>
      <c r="JN19" s="652">
        <v>25</v>
      </c>
      <c r="JS19" s="757">
        <v>17.211053997305559</v>
      </c>
      <c r="JT19" s="757">
        <f t="shared" si="110"/>
        <v>-7.2524182183876462E-2</v>
      </c>
      <c r="JU19" s="1010">
        <v>10319127</v>
      </c>
      <c r="JV19" s="1010">
        <f t="shared" si="125"/>
        <v>-431707.7361696139</v>
      </c>
      <c r="JW19" s="1069">
        <f t="shared" si="111"/>
        <v>-4.2138141101195972E-3</v>
      </c>
      <c r="JX19" s="997">
        <v>1776030.5200205371</v>
      </c>
      <c r="JY19" s="997">
        <f t="shared" si="112"/>
        <v>1842535.0166328878</v>
      </c>
      <c r="JZ19" s="516"/>
      <c r="KA19" s="516"/>
      <c r="KB19" s="516"/>
      <c r="KC19" s="516"/>
      <c r="KE19" s="516"/>
      <c r="KF19" s="516"/>
    </row>
    <row r="20" spans="2:292" ht="16.5" x14ac:dyDescent="0.3">
      <c r="I20" s="543">
        <f t="shared" si="113"/>
        <v>17</v>
      </c>
      <c r="J20" s="654">
        <f t="shared" si="1"/>
        <v>17</v>
      </c>
      <c r="K20" s="655" t="s">
        <v>406</v>
      </c>
      <c r="L20" s="991">
        <v>544970593.69171178</v>
      </c>
      <c r="M20" s="657">
        <f t="shared" si="2"/>
        <v>0.24788737722762</v>
      </c>
      <c r="N20" s="656">
        <v>1263</v>
      </c>
      <c r="O20" s="656">
        <f t="shared" si="75"/>
        <v>431488.98946295469</v>
      </c>
      <c r="P20" s="657">
        <f t="shared" si="3"/>
        <v>0.24162330390476641</v>
      </c>
      <c r="Q20" s="658" t="s">
        <v>379</v>
      </c>
      <c r="U20" s="545">
        <f t="shared" si="114"/>
        <v>17</v>
      </c>
      <c r="V20" s="669">
        <f t="shared" si="4"/>
        <v>17</v>
      </c>
      <c r="W20" s="655" t="s">
        <v>406</v>
      </c>
      <c r="X20" s="646">
        <f t="shared" si="76"/>
        <v>21804375.093297616</v>
      </c>
      <c r="Y20" s="657">
        <f t="shared" si="5"/>
        <v>0.22523142099230231</v>
      </c>
      <c r="AC20" s="545">
        <f t="shared" si="115"/>
        <v>17</v>
      </c>
      <c r="AD20" s="678">
        <v>17</v>
      </c>
      <c r="AE20" s="679" t="s">
        <v>406</v>
      </c>
      <c r="AF20" s="680">
        <v>2.61</v>
      </c>
      <c r="AP20" s="545">
        <f t="shared" si="78"/>
        <v>17</v>
      </c>
      <c r="AQ20" s="693">
        <f t="shared" si="6"/>
        <v>17</v>
      </c>
      <c r="AR20" s="655" t="s">
        <v>406</v>
      </c>
      <c r="AS20" s="655">
        <f t="shared" si="7"/>
        <v>2.61</v>
      </c>
      <c r="AT20" s="694">
        <f t="shared" si="79"/>
        <v>544970593.69171178</v>
      </c>
      <c r="AU20" s="694">
        <f t="shared" si="116"/>
        <v>395103.68042649102</v>
      </c>
      <c r="AV20" s="695">
        <f t="shared" si="8"/>
        <v>407262.59781932511</v>
      </c>
      <c r="AW20" s="696">
        <f t="shared" si="9"/>
        <v>21.592508896755891</v>
      </c>
      <c r="AX20" s="646">
        <f t="shared" si="126"/>
        <v>8793821.2667296939</v>
      </c>
      <c r="AY20" s="544">
        <f t="shared" si="80"/>
        <v>0.20863934129785802</v>
      </c>
      <c r="AZ20" s="548">
        <f t="shared" si="10"/>
        <v>1.613632</v>
      </c>
      <c r="BK20" s="543">
        <f t="shared" si="117"/>
        <v>17</v>
      </c>
      <c r="BL20" s="658">
        <f t="shared" si="11"/>
        <v>17</v>
      </c>
      <c r="BM20" s="655" t="s">
        <v>406</v>
      </c>
      <c r="BN20" s="657">
        <f t="shared" si="81"/>
        <v>0.20863934129785802</v>
      </c>
      <c r="BO20" s="646">
        <f t="shared" si="82"/>
        <v>2000165.4621910255</v>
      </c>
      <c r="BP20" s="657">
        <f t="shared" si="83"/>
        <v>0.24788737722762</v>
      </c>
      <c r="BQ20" s="646">
        <f t="shared" si="84"/>
        <v>2376425.1140726446</v>
      </c>
      <c r="BR20" s="708">
        <f t="shared" si="12"/>
        <v>4376590.5762636699</v>
      </c>
      <c r="BS20" s="709">
        <f t="shared" si="13"/>
        <v>0.803087</v>
      </c>
      <c r="BV20" s="15"/>
      <c r="BW20" s="190"/>
      <c r="BX20" s="190"/>
      <c r="BY20" s="190"/>
      <c r="BZ20" s="190"/>
      <c r="CA20" s="190"/>
      <c r="CB20" s="190"/>
      <c r="CC20" s="190"/>
      <c r="CD20" s="190"/>
      <c r="CH20" s="543">
        <f t="shared" si="118"/>
        <v>17</v>
      </c>
      <c r="CI20" s="678">
        <f t="shared" si="15"/>
        <v>17</v>
      </c>
      <c r="CJ20" s="655" t="s">
        <v>406</v>
      </c>
      <c r="CK20" s="657">
        <f t="shared" si="16"/>
        <v>0.24788737722762</v>
      </c>
      <c r="CL20" s="646">
        <f t="shared" si="17"/>
        <v>1453051.0513950875</v>
      </c>
      <c r="CM20" s="657">
        <f t="shared" si="18"/>
        <v>0.24162330390476641</v>
      </c>
      <c r="CN20" s="646">
        <f t="shared" si="19"/>
        <v>4642061.5873110695</v>
      </c>
      <c r="CO20" s="646">
        <f t="shared" si="20"/>
        <v>6095112.638706157</v>
      </c>
      <c r="CP20" s="657">
        <f t="shared" si="21"/>
        <v>0.24308772028526632</v>
      </c>
      <c r="CQ20" s="709">
        <f t="shared" si="22"/>
        <v>1.11843</v>
      </c>
      <c r="DD20" s="15"/>
      <c r="DG20" s="545">
        <f t="shared" si="119"/>
        <v>17</v>
      </c>
      <c r="DH20" s="739">
        <f t="shared" si="24"/>
        <v>17</v>
      </c>
      <c r="DI20" s="655" t="s">
        <v>406</v>
      </c>
      <c r="DJ20" s="657">
        <f t="shared" si="25"/>
        <v>0.24308772028526632</v>
      </c>
      <c r="DK20" s="646">
        <f t="shared" si="85"/>
        <v>91569.864271664424</v>
      </c>
      <c r="DL20" s="657">
        <f t="shared" si="26"/>
        <v>0.24162330390476641</v>
      </c>
      <c r="DM20" s="646">
        <f t="shared" si="27"/>
        <v>591526.59017480968</v>
      </c>
      <c r="DN20" s="657">
        <f t="shared" si="28"/>
        <v>0.24788737722762</v>
      </c>
      <c r="DO20" s="646">
        <f t="shared" si="29"/>
        <v>879718.59245961264</v>
      </c>
      <c r="DP20" s="646">
        <f t="shared" si="86"/>
        <v>1562815.0469060866</v>
      </c>
      <c r="DQ20" s="657">
        <f t="shared" si="30"/>
        <v>0.24519768030457567</v>
      </c>
      <c r="DR20" s="709">
        <f t="shared" si="31"/>
        <v>0.286771</v>
      </c>
      <c r="DV20" s="545">
        <f t="shared" si="120"/>
        <v>17</v>
      </c>
      <c r="DW20" s="739">
        <f t="shared" si="32"/>
        <v>17</v>
      </c>
      <c r="DX20" s="655" t="s">
        <v>406</v>
      </c>
      <c r="DY20" s="657">
        <f t="shared" si="33"/>
        <v>0.24162330390476641</v>
      </c>
      <c r="DZ20" s="646">
        <f t="shared" si="34"/>
        <v>976035.56469200796</v>
      </c>
      <c r="EA20" s="709">
        <f t="shared" si="35"/>
        <v>0.17909900000000001</v>
      </c>
      <c r="EM20" s="545">
        <f t="shared" si="121"/>
        <v>17</v>
      </c>
      <c r="EN20" s="739">
        <f t="shared" si="36"/>
        <v>17</v>
      </c>
      <c r="EO20" s="655" t="s">
        <v>406</v>
      </c>
      <c r="EP20" s="657">
        <f t="shared" si="37"/>
        <v>0.22523142099230231</v>
      </c>
      <c r="EQ20" s="646">
        <f t="shared" si="38"/>
        <v>1773824.1334361625</v>
      </c>
      <c r="ER20" s="657">
        <f t="shared" si="39"/>
        <v>0.24308772028526632</v>
      </c>
      <c r="ES20" s="646">
        <f t="shared" si="40"/>
        <v>247123.75425554169</v>
      </c>
      <c r="ET20" s="657">
        <f t="shared" si="41"/>
        <v>0.24788737722762</v>
      </c>
      <c r="EU20" s="646">
        <f t="shared" si="42"/>
        <v>1066783.1700547452</v>
      </c>
      <c r="EV20" s="646">
        <f t="shared" si="43"/>
        <v>3087731.0577464495</v>
      </c>
      <c r="EW20" s="657">
        <f t="shared" si="44"/>
        <v>0.23399586474405754</v>
      </c>
      <c r="EX20" s="709">
        <f t="shared" si="45"/>
        <v>0.56658699999999995</v>
      </c>
      <c r="FH20" s="545">
        <f t="shared" si="122"/>
        <v>17</v>
      </c>
      <c r="FI20" s="669">
        <f t="shared" si="46"/>
        <v>17</v>
      </c>
      <c r="FJ20" s="655" t="s">
        <v>406</v>
      </c>
      <c r="FK20" s="657">
        <f t="shared" si="47"/>
        <v>0.22523142099230231</v>
      </c>
      <c r="FL20" s="646">
        <f t="shared" si="48"/>
        <v>4447004.5171235148</v>
      </c>
      <c r="FM20" s="709">
        <f t="shared" si="49"/>
        <v>0.81600799999999996</v>
      </c>
      <c r="FQ20" s="543">
        <v>17</v>
      </c>
      <c r="FR20" s="669">
        <v>17</v>
      </c>
      <c r="FS20" s="655" t="s">
        <v>406</v>
      </c>
      <c r="FT20" s="646">
        <f t="shared" si="50"/>
        <v>8793821.2667296939</v>
      </c>
      <c r="FU20" s="646">
        <f t="shared" si="51"/>
        <v>4376590.5762636699</v>
      </c>
      <c r="FV20" s="646">
        <f t="shared" si="52"/>
        <v>6095112.638706157</v>
      </c>
      <c r="FW20" s="646">
        <f t="shared" si="88"/>
        <v>1562815.0469060866</v>
      </c>
      <c r="FX20" s="646">
        <f t="shared" si="53"/>
        <v>976035.56469200796</v>
      </c>
      <c r="FY20" s="646">
        <f t="shared" si="54"/>
        <v>3087731.0577464495</v>
      </c>
      <c r="FZ20" s="646">
        <f t="shared" si="55"/>
        <v>4447004.5171235148</v>
      </c>
      <c r="GA20" s="646">
        <f t="shared" si="56"/>
        <v>29339110.668167576</v>
      </c>
      <c r="GB20" s="746">
        <f t="shared" si="57"/>
        <v>5.3836139999999997</v>
      </c>
      <c r="GF20" s="545">
        <f t="shared" si="89"/>
        <v>17</v>
      </c>
      <c r="GG20" s="669">
        <f t="shared" si="58"/>
        <v>17</v>
      </c>
      <c r="GH20" s="655" t="s">
        <v>406</v>
      </c>
      <c r="GI20" s="709">
        <f t="shared" si="59"/>
        <v>1.613632</v>
      </c>
      <c r="GJ20" s="709">
        <f t="shared" si="60"/>
        <v>0.803087</v>
      </c>
      <c r="GK20" s="709">
        <f t="shared" si="61"/>
        <v>1.11843</v>
      </c>
      <c r="GL20" s="709">
        <f t="shared" si="62"/>
        <v>0.286771</v>
      </c>
      <c r="GM20" s="709">
        <f t="shared" si="63"/>
        <v>0.17909900000000001</v>
      </c>
      <c r="GN20" s="709">
        <f t="shared" si="64"/>
        <v>0.56658699999999995</v>
      </c>
      <c r="GO20" s="709">
        <f t="shared" si="65"/>
        <v>0.81600799999999996</v>
      </c>
      <c r="GP20" s="709">
        <f t="shared" si="66"/>
        <v>5.3836139999999997</v>
      </c>
      <c r="GQ20" s="656">
        <f t="shared" si="90"/>
        <v>544970593.69171178</v>
      </c>
      <c r="GR20" s="530"/>
      <c r="GU20" s="543">
        <f t="shared" si="91"/>
        <v>17</v>
      </c>
      <c r="GV20" s="669">
        <f t="shared" si="67"/>
        <v>17</v>
      </c>
      <c r="GW20" s="655" t="s">
        <v>406</v>
      </c>
      <c r="GX20" s="658" t="s">
        <v>379</v>
      </c>
      <c r="GY20" s="646">
        <f t="shared" si="68"/>
        <v>29339110.668167576</v>
      </c>
      <c r="GZ20" s="656">
        <f t="shared" si="69"/>
        <v>544970593.69171178</v>
      </c>
      <c r="HA20" s="709">
        <f t="shared" si="92"/>
        <v>5.3836139999999997</v>
      </c>
      <c r="HB20" s="646">
        <f t="shared" si="70"/>
        <v>29339113.17787011</v>
      </c>
      <c r="HC20" s="749">
        <f t="shared" si="71"/>
        <v>2.5097025334835052</v>
      </c>
      <c r="HD20" s="549"/>
      <c r="HG20" s="549"/>
      <c r="HH20" s="549"/>
      <c r="HI20" s="549"/>
      <c r="HJ20" s="549"/>
      <c r="HK20" s="549"/>
      <c r="HL20" s="549"/>
      <c r="HM20" s="549"/>
      <c r="HP20" s="545">
        <f t="shared" si="123"/>
        <v>17</v>
      </c>
      <c r="HQ20" s="761">
        <f t="shared" si="72"/>
        <v>17</v>
      </c>
      <c r="HR20" s="655" t="s">
        <v>406</v>
      </c>
      <c r="HS20" s="656">
        <f t="shared" si="93"/>
        <v>544970593.69171178</v>
      </c>
      <c r="HT20" s="756">
        <f t="shared" si="94"/>
        <v>5.3836139999999997</v>
      </c>
      <c r="HU20" s="756">
        <v>4.7273310000000004</v>
      </c>
      <c r="HV20" s="647">
        <f t="shared" si="95"/>
        <v>0.1388273848393522</v>
      </c>
      <c r="HW20" s="756">
        <f t="shared" si="96"/>
        <v>0.65628299999999928</v>
      </c>
      <c r="HX20" s="648">
        <v>10</v>
      </c>
      <c r="IO20" s="545">
        <v>17</v>
      </c>
      <c r="IP20" s="761">
        <v>17</v>
      </c>
      <c r="IQ20" s="655" t="s">
        <v>406</v>
      </c>
      <c r="IR20" s="769">
        <f t="shared" si="97"/>
        <v>29339110.668167576</v>
      </c>
      <c r="IS20" s="770">
        <f t="shared" si="97"/>
        <v>544970593.69171178</v>
      </c>
      <c r="IT20" s="771">
        <f t="shared" si="97"/>
        <v>5.3836139999999997</v>
      </c>
      <c r="IU20" s="656">
        <f t="shared" si="98"/>
        <v>79547619.180438608</v>
      </c>
      <c r="IV20" s="656">
        <f t="shared" si="99"/>
        <v>465422974.51127315</v>
      </c>
      <c r="IW20" s="769">
        <f t="shared" si="100"/>
        <v>1193214.2877065791</v>
      </c>
      <c r="IX20" s="769">
        <f t="shared" si="101"/>
        <v>28145896.380460996</v>
      </c>
      <c r="IY20" s="550">
        <f t="shared" si="102"/>
        <v>5.1646633242715927</v>
      </c>
      <c r="IZ20" s="550">
        <f t="shared" si="103"/>
        <v>6.6646633242715927</v>
      </c>
      <c r="JA20" s="769">
        <f t="shared" si="104"/>
        <v>29339110.668167576</v>
      </c>
      <c r="JB20" s="746">
        <f t="shared" si="105"/>
        <v>0.21895067572840698</v>
      </c>
      <c r="JF20" s="545">
        <f t="shared" si="124"/>
        <v>17</v>
      </c>
      <c r="JG20" s="761">
        <f t="shared" si="73"/>
        <v>17</v>
      </c>
      <c r="JH20" s="655" t="s">
        <v>406</v>
      </c>
      <c r="JI20" s="656">
        <f t="shared" si="106"/>
        <v>544970593.69171178</v>
      </c>
      <c r="JJ20" s="756">
        <f t="shared" si="107"/>
        <v>5.1646633242715927</v>
      </c>
      <c r="JK20" s="756">
        <v>4.505097789107122</v>
      </c>
      <c r="JL20" s="647">
        <f t="shared" si="127"/>
        <v>0.14640426602042567</v>
      </c>
      <c r="JM20" s="756">
        <f t="shared" si="109"/>
        <v>0.6595655351644707</v>
      </c>
      <c r="JN20" s="648">
        <v>10</v>
      </c>
      <c r="JS20" s="756">
        <v>5.1865792670674784</v>
      </c>
      <c r="JT20" s="756">
        <f t="shared" si="110"/>
        <v>-2.1915942795885712E-2</v>
      </c>
      <c r="JU20" s="1009">
        <v>537876661</v>
      </c>
      <c r="JV20" s="1009">
        <f t="shared" si="125"/>
        <v>-7093932.6917117834</v>
      </c>
      <c r="JW20" s="1069">
        <f t="shared" si="111"/>
        <v>-4.2255100457140246E-3</v>
      </c>
      <c r="JX20" s="997">
        <v>27897399.381820828</v>
      </c>
      <c r="JY20" s="997">
        <f t="shared" si="112"/>
        <v>28145896.380460996</v>
      </c>
      <c r="JZ20" s="516"/>
      <c r="KA20" s="516"/>
      <c r="KB20" s="516"/>
      <c r="KC20" s="516"/>
      <c r="KE20" s="516"/>
      <c r="KF20" s="516"/>
    </row>
    <row r="21" spans="2:292" ht="16.5" x14ac:dyDescent="0.3">
      <c r="I21" s="222">
        <f t="shared" si="113"/>
        <v>18</v>
      </c>
      <c r="J21" s="659">
        <f t="shared" si="1"/>
        <v>18</v>
      </c>
      <c r="K21" s="660" t="s">
        <v>407</v>
      </c>
      <c r="L21" s="991">
        <v>53886865.795532204</v>
      </c>
      <c r="M21" s="662">
        <f t="shared" si="2"/>
        <v>2.4511182775171413E-2</v>
      </c>
      <c r="N21" s="661">
        <v>354</v>
      </c>
      <c r="O21" s="661">
        <f t="shared" si="75"/>
        <v>152222.78473314183</v>
      </c>
      <c r="P21" s="662">
        <f t="shared" si="3"/>
        <v>8.5241044557322468E-2</v>
      </c>
      <c r="Q21" s="663" t="s">
        <v>379</v>
      </c>
      <c r="U21" s="551">
        <f t="shared" si="114"/>
        <v>18</v>
      </c>
      <c r="V21" s="670">
        <f t="shared" si="4"/>
        <v>18</v>
      </c>
      <c r="W21" s="660" t="s">
        <v>407</v>
      </c>
      <c r="X21" s="671">
        <f t="shared" si="76"/>
        <v>6142635.4701457974</v>
      </c>
      <c r="Y21" s="662">
        <f t="shared" si="5"/>
        <v>6.3451234426981196E-2</v>
      </c>
      <c r="AC21" s="551">
        <f t="shared" si="115"/>
        <v>18</v>
      </c>
      <c r="AD21" s="681">
        <v>18</v>
      </c>
      <c r="AE21" s="682" t="s">
        <v>407</v>
      </c>
      <c r="AF21" s="683">
        <v>8.4600000000000009</v>
      </c>
      <c r="AP21" s="551">
        <f t="shared" si="78"/>
        <v>18</v>
      </c>
      <c r="AQ21" s="697">
        <f t="shared" si="6"/>
        <v>18</v>
      </c>
      <c r="AR21" s="660" t="s">
        <v>407</v>
      </c>
      <c r="AS21" s="660">
        <f t="shared" si="7"/>
        <v>8.4600000000000009</v>
      </c>
      <c r="AT21" s="698">
        <f t="shared" si="79"/>
        <v>53886865.795532204</v>
      </c>
      <c r="AU21" s="698">
        <f>AT21*AS21/3600</f>
        <v>126634.13461950069</v>
      </c>
      <c r="AV21" s="699">
        <f t="shared" si="8"/>
        <v>130531.17243066331</v>
      </c>
      <c r="AW21" s="700">
        <f t="shared" si="9"/>
        <v>21.592508896755891</v>
      </c>
      <c r="AX21" s="671">
        <f t="shared" si="126"/>
        <v>2818495.5020130747</v>
      </c>
      <c r="AY21" s="465">
        <f t="shared" si="80"/>
        <v>6.6870706960555651E-2</v>
      </c>
      <c r="AZ21" s="553">
        <f t="shared" si="10"/>
        <v>5.2303940000000004</v>
      </c>
      <c r="BK21" s="222">
        <f t="shared" si="117"/>
        <v>18</v>
      </c>
      <c r="BL21" s="663">
        <f t="shared" si="11"/>
        <v>18</v>
      </c>
      <c r="BM21" s="660" t="s">
        <v>407</v>
      </c>
      <c r="BN21" s="662">
        <f t="shared" si="81"/>
        <v>6.6870706960555651E-2</v>
      </c>
      <c r="BO21" s="671">
        <f t="shared" si="82"/>
        <v>641070.26825709012</v>
      </c>
      <c r="BP21" s="662">
        <f t="shared" si="83"/>
        <v>2.4511182775171413E-2</v>
      </c>
      <c r="BQ21" s="671">
        <f t="shared" si="84"/>
        <v>234981.67181403365</v>
      </c>
      <c r="BR21" s="710">
        <f t="shared" si="12"/>
        <v>876051.94007112377</v>
      </c>
      <c r="BS21" s="711">
        <f t="shared" si="13"/>
        <v>1.6257239999999999</v>
      </c>
      <c r="BV21" s="15"/>
      <c r="BW21" s="190"/>
      <c r="BX21" s="190"/>
      <c r="BY21" s="190"/>
      <c r="BZ21" s="190"/>
      <c r="CA21" s="190"/>
      <c r="CB21" s="190"/>
      <c r="CC21" s="190"/>
      <c r="CD21" s="190"/>
      <c r="CH21" s="222">
        <f t="shared" si="118"/>
        <v>18</v>
      </c>
      <c r="CI21" s="681">
        <f t="shared" si="15"/>
        <v>18</v>
      </c>
      <c r="CJ21" s="660" t="s">
        <v>407</v>
      </c>
      <c r="CK21" s="723">
        <f t="shared" si="16"/>
        <v>2.4511182775171413E-2</v>
      </c>
      <c r="CL21" s="650">
        <f t="shared" si="17"/>
        <v>143678.15054050114</v>
      </c>
      <c r="CM21" s="723">
        <f t="shared" si="18"/>
        <v>8.5241044557322468E-2</v>
      </c>
      <c r="CN21" s="650">
        <f t="shared" si="19"/>
        <v>1637649.0686418936</v>
      </c>
      <c r="CO21" s="650">
        <f t="shared" si="20"/>
        <v>1781327.2191823947</v>
      </c>
      <c r="CP21" s="723">
        <f t="shared" si="21"/>
        <v>7.1043604681448602E-2</v>
      </c>
      <c r="CQ21" s="724">
        <f t="shared" si="22"/>
        <v>3.3056800000000002</v>
      </c>
      <c r="DD21" s="15"/>
      <c r="DG21" s="551">
        <f t="shared" si="119"/>
        <v>18</v>
      </c>
      <c r="DH21" s="677">
        <f t="shared" si="24"/>
        <v>18</v>
      </c>
      <c r="DI21" s="660" t="s">
        <v>407</v>
      </c>
      <c r="DJ21" s="723">
        <f t="shared" si="25"/>
        <v>7.1043604681448602E-2</v>
      </c>
      <c r="DK21" s="650">
        <f t="shared" si="85"/>
        <v>26761.751808835943</v>
      </c>
      <c r="DL21" s="723">
        <f t="shared" si="26"/>
        <v>8.5241044557322468E-2</v>
      </c>
      <c r="DM21" s="650">
        <f t="shared" si="27"/>
        <v>208681.62803454374</v>
      </c>
      <c r="DN21" s="723">
        <f t="shared" si="28"/>
        <v>2.4511182775171413E-2</v>
      </c>
      <c r="DO21" s="650">
        <f t="shared" si="29"/>
        <v>86986.854480670678</v>
      </c>
      <c r="DP21" s="650">
        <f t="shared" si="86"/>
        <v>322430.23432405037</v>
      </c>
      <c r="DQ21" s="723">
        <f t="shared" si="30"/>
        <v>5.0587653140934198E-2</v>
      </c>
      <c r="DR21" s="724">
        <f t="shared" si="31"/>
        <v>0.59834699999999996</v>
      </c>
      <c r="DV21" s="551">
        <f t="shared" si="120"/>
        <v>18</v>
      </c>
      <c r="DW21" s="677">
        <f t="shared" si="32"/>
        <v>18</v>
      </c>
      <c r="DX21" s="660" t="s">
        <v>407</v>
      </c>
      <c r="DY21" s="723">
        <f t="shared" si="33"/>
        <v>8.5241044557322468E-2</v>
      </c>
      <c r="DZ21" s="650">
        <f t="shared" si="34"/>
        <v>344330.57455515419</v>
      </c>
      <c r="EA21" s="724">
        <f t="shared" si="35"/>
        <v>0.638988</v>
      </c>
      <c r="EM21" s="551">
        <f t="shared" si="121"/>
        <v>18</v>
      </c>
      <c r="EN21" s="677">
        <f t="shared" si="36"/>
        <v>18</v>
      </c>
      <c r="EO21" s="660" t="s">
        <v>407</v>
      </c>
      <c r="EP21" s="723">
        <f t="shared" si="37"/>
        <v>6.3451234426981196E-2</v>
      </c>
      <c r="EQ21" s="650">
        <f t="shared" si="38"/>
        <v>499714.16255790245</v>
      </c>
      <c r="ER21" s="723">
        <f t="shared" si="39"/>
        <v>7.1043604681448602E-2</v>
      </c>
      <c r="ES21" s="650">
        <f t="shared" si="40"/>
        <v>72223.155839066341</v>
      </c>
      <c r="ET21" s="723">
        <f t="shared" si="41"/>
        <v>2.4511182775171413E-2</v>
      </c>
      <c r="EU21" s="650">
        <f t="shared" si="42"/>
        <v>105483.8594652538</v>
      </c>
      <c r="EV21" s="650">
        <f t="shared" si="43"/>
        <v>677421.17786222254</v>
      </c>
      <c r="EW21" s="723">
        <f t="shared" si="44"/>
        <v>5.1336645370111504E-2</v>
      </c>
      <c r="EX21" s="724">
        <f t="shared" si="45"/>
        <v>1.257117</v>
      </c>
      <c r="FH21" s="551">
        <f t="shared" si="122"/>
        <v>18</v>
      </c>
      <c r="FI21" s="670">
        <f t="shared" si="46"/>
        <v>18</v>
      </c>
      <c r="FJ21" s="660" t="s">
        <v>407</v>
      </c>
      <c r="FK21" s="723">
        <f t="shared" si="47"/>
        <v>6.3451234426981196E-2</v>
      </c>
      <c r="FL21" s="650">
        <f t="shared" si="48"/>
        <v>1252791.1286564765</v>
      </c>
      <c r="FM21" s="724">
        <f t="shared" si="49"/>
        <v>2.3248540000000002</v>
      </c>
      <c r="FQ21" s="222">
        <v>18</v>
      </c>
      <c r="FR21" s="670">
        <v>18</v>
      </c>
      <c r="FS21" s="660" t="s">
        <v>407</v>
      </c>
      <c r="FT21" s="650">
        <f t="shared" si="50"/>
        <v>2818495.5020130747</v>
      </c>
      <c r="FU21" s="650">
        <f t="shared" si="51"/>
        <v>876051.94007112377</v>
      </c>
      <c r="FV21" s="650">
        <f t="shared" si="52"/>
        <v>1781327.2191823947</v>
      </c>
      <c r="FW21" s="650">
        <f t="shared" si="88"/>
        <v>322430.23432405037</v>
      </c>
      <c r="FX21" s="650">
        <f t="shared" si="53"/>
        <v>344330.57455515419</v>
      </c>
      <c r="FY21" s="650">
        <f t="shared" si="54"/>
        <v>677421.17786222254</v>
      </c>
      <c r="FZ21" s="650">
        <f t="shared" si="55"/>
        <v>1252791.1286564765</v>
      </c>
      <c r="GA21" s="650">
        <f t="shared" si="56"/>
        <v>8072847.7766644964</v>
      </c>
      <c r="GB21" s="747">
        <f t="shared" si="57"/>
        <v>14.981104999999999</v>
      </c>
      <c r="GF21" s="551">
        <f t="shared" si="89"/>
        <v>18</v>
      </c>
      <c r="GG21" s="670">
        <f t="shared" si="58"/>
        <v>18</v>
      </c>
      <c r="GH21" s="660" t="s">
        <v>407</v>
      </c>
      <c r="GI21" s="724">
        <f t="shared" si="59"/>
        <v>5.2303940000000004</v>
      </c>
      <c r="GJ21" s="724">
        <f t="shared" si="60"/>
        <v>1.6257239999999999</v>
      </c>
      <c r="GK21" s="724">
        <f t="shared" si="61"/>
        <v>3.3056800000000002</v>
      </c>
      <c r="GL21" s="724">
        <f t="shared" si="62"/>
        <v>0.59834699999999996</v>
      </c>
      <c r="GM21" s="724">
        <f t="shared" si="63"/>
        <v>0.638988</v>
      </c>
      <c r="GN21" s="724">
        <f t="shared" si="64"/>
        <v>1.257117</v>
      </c>
      <c r="GO21" s="724">
        <f t="shared" si="65"/>
        <v>2.3248540000000002</v>
      </c>
      <c r="GP21" s="724">
        <f t="shared" si="66"/>
        <v>14.981104999999999</v>
      </c>
      <c r="GQ21" s="661">
        <f t="shared" si="90"/>
        <v>53886865.795532204</v>
      </c>
      <c r="GR21" s="530"/>
      <c r="GU21" s="222">
        <f t="shared" si="91"/>
        <v>18</v>
      </c>
      <c r="GV21" s="670">
        <f t="shared" si="67"/>
        <v>18</v>
      </c>
      <c r="GW21" s="660" t="s">
        <v>407</v>
      </c>
      <c r="GX21" s="663" t="s">
        <v>379</v>
      </c>
      <c r="GY21" s="671">
        <f t="shared" si="68"/>
        <v>8072847.7766644964</v>
      </c>
      <c r="GZ21" s="661">
        <f t="shared" si="69"/>
        <v>53886865.795532204</v>
      </c>
      <c r="HA21" s="724">
        <f t="shared" si="92"/>
        <v>14.981104999999999</v>
      </c>
      <c r="HB21" s="650">
        <f t="shared" si="70"/>
        <v>8072847.9460377647</v>
      </c>
      <c r="HC21" s="750">
        <f t="shared" si="71"/>
        <v>0.16937326826155186</v>
      </c>
      <c r="HD21" s="549"/>
      <c r="HG21" s="549"/>
      <c r="HH21" s="549"/>
      <c r="HI21" s="549"/>
      <c r="HJ21" s="549"/>
      <c r="HK21" s="549"/>
      <c r="HL21" s="549"/>
      <c r="HM21" s="549"/>
      <c r="HP21" s="551">
        <f t="shared" si="123"/>
        <v>18</v>
      </c>
      <c r="HQ21" s="762">
        <f t="shared" si="72"/>
        <v>18</v>
      </c>
      <c r="HR21" s="660" t="s">
        <v>407</v>
      </c>
      <c r="HS21" s="661">
        <f t="shared" si="93"/>
        <v>53886865.795532204</v>
      </c>
      <c r="HT21" s="757">
        <f t="shared" si="94"/>
        <v>14.981104999999999</v>
      </c>
      <c r="HU21" s="757">
        <v>13.268026000000001</v>
      </c>
      <c r="HV21" s="651">
        <f t="shared" si="95"/>
        <v>0.12911332853884971</v>
      </c>
      <c r="HW21" s="757">
        <f t="shared" si="96"/>
        <v>1.7130789999999987</v>
      </c>
      <c r="HX21" s="652">
        <v>25</v>
      </c>
      <c r="IO21" s="551">
        <v>18</v>
      </c>
      <c r="IP21" s="762">
        <v>18</v>
      </c>
      <c r="IQ21" s="660" t="s">
        <v>407</v>
      </c>
      <c r="IR21" s="772">
        <f t="shared" si="97"/>
        <v>8072847.7766644964</v>
      </c>
      <c r="IS21" s="773">
        <f t="shared" si="97"/>
        <v>53886865.795532204</v>
      </c>
      <c r="IT21" s="774">
        <f t="shared" si="97"/>
        <v>14.981104999999999</v>
      </c>
      <c r="IU21" s="661">
        <f t="shared" si="98"/>
        <v>7865693.9085327964</v>
      </c>
      <c r="IV21" s="661">
        <f t="shared" si="99"/>
        <v>46021171.886999406</v>
      </c>
      <c r="IW21" s="772">
        <f t="shared" si="100"/>
        <v>117985.40862799194</v>
      </c>
      <c r="IX21" s="772">
        <f t="shared" si="101"/>
        <v>7954862.3680365048</v>
      </c>
      <c r="IY21" s="455">
        <f t="shared" si="102"/>
        <v>14.76215447047961</v>
      </c>
      <c r="IZ21" s="555">
        <f t="shared" si="103"/>
        <v>16.262154470479608</v>
      </c>
      <c r="JA21" s="772">
        <f t="shared" si="104"/>
        <v>8072847.7766644964</v>
      </c>
      <c r="JB21" s="778">
        <f t="shared" si="105"/>
        <v>0.21895052952038974</v>
      </c>
      <c r="JF21" s="551">
        <f t="shared" si="124"/>
        <v>18</v>
      </c>
      <c r="JG21" s="762">
        <f t="shared" si="73"/>
        <v>18</v>
      </c>
      <c r="JH21" s="660" t="s">
        <v>407</v>
      </c>
      <c r="JI21" s="661">
        <f t="shared" si="106"/>
        <v>53886865.795532204</v>
      </c>
      <c r="JJ21" s="757">
        <f t="shared" si="107"/>
        <v>14.76215447047961</v>
      </c>
      <c r="JK21" s="757">
        <v>13.045793174517087</v>
      </c>
      <c r="JL21" s="651">
        <f t="shared" si="127"/>
        <v>0.13156434974878839</v>
      </c>
      <c r="JM21" s="757">
        <f t="shared" si="109"/>
        <v>1.716361295962523</v>
      </c>
      <c r="JN21" s="652">
        <v>25</v>
      </c>
      <c r="JS21" s="757">
        <v>14.823653001508386</v>
      </c>
      <c r="JT21" s="757">
        <f t="shared" si="110"/>
        <v>-6.1498531028776782E-2</v>
      </c>
      <c r="JU21" s="1010">
        <v>54037187</v>
      </c>
      <c r="JV21" s="1010">
        <f t="shared" si="125"/>
        <v>150321.20446779579</v>
      </c>
      <c r="JW21" s="1069">
        <f t="shared" si="111"/>
        <v>-4.1486758373606679E-3</v>
      </c>
      <c r="JX21" s="997">
        <v>8010285.0926561998</v>
      </c>
      <c r="JY21" s="997">
        <f t="shared" si="112"/>
        <v>7954862.3680365048</v>
      </c>
      <c r="JZ21" s="516"/>
      <c r="KA21" s="516"/>
      <c r="KB21" s="516"/>
      <c r="KC21" s="516"/>
      <c r="KE21" s="516"/>
      <c r="KF21" s="516"/>
    </row>
    <row r="22" spans="2:292" ht="16.5" x14ac:dyDescent="0.3">
      <c r="I22" s="543">
        <v>19</v>
      </c>
      <c r="J22" s="654">
        <f t="shared" si="1"/>
        <v>19</v>
      </c>
      <c r="K22" s="655" t="s">
        <v>408</v>
      </c>
      <c r="L22" s="991">
        <v>1349.4811125848451</v>
      </c>
      <c r="M22" s="657">
        <f t="shared" si="2"/>
        <v>6.1383006255582371E-7</v>
      </c>
      <c r="N22" s="656">
        <v>25</v>
      </c>
      <c r="O22" s="656">
        <f t="shared" si="75"/>
        <v>53.979244503393801</v>
      </c>
      <c r="P22" s="657">
        <f t="shared" si="3"/>
        <v>3.0227059595255289E-5</v>
      </c>
      <c r="Q22" s="658" t="s">
        <v>379</v>
      </c>
      <c r="U22" s="545">
        <f t="shared" si="114"/>
        <v>19</v>
      </c>
      <c r="V22" s="669">
        <f t="shared" si="4"/>
        <v>19</v>
      </c>
      <c r="W22" s="655" t="s">
        <v>408</v>
      </c>
      <c r="X22" s="646">
        <f t="shared" si="76"/>
        <v>2140.3478940840641</v>
      </c>
      <c r="Y22" s="657">
        <f t="shared" si="5"/>
        <v>2.2109030666538971E-5</v>
      </c>
      <c r="AC22" s="545">
        <f t="shared" si="115"/>
        <v>19</v>
      </c>
      <c r="AD22" s="678">
        <v>19</v>
      </c>
      <c r="AE22" s="679" t="s">
        <v>408</v>
      </c>
      <c r="AF22" s="680">
        <v>131.15</v>
      </c>
      <c r="AP22" s="545">
        <f t="shared" si="78"/>
        <v>19</v>
      </c>
      <c r="AQ22" s="693">
        <f t="shared" si="6"/>
        <v>19</v>
      </c>
      <c r="AR22" s="655" t="s">
        <v>408</v>
      </c>
      <c r="AS22" s="655">
        <f t="shared" si="7"/>
        <v>131.15</v>
      </c>
      <c r="AT22" s="694">
        <f t="shared" si="79"/>
        <v>1349.4811125848451</v>
      </c>
      <c r="AU22" s="694">
        <f t="shared" si="116"/>
        <v>49.162346643195121</v>
      </c>
      <c r="AV22" s="695">
        <f t="shared" si="8"/>
        <v>50.675268292082919</v>
      </c>
      <c r="AW22" s="696">
        <f t="shared" si="9"/>
        <v>21.592508896755891</v>
      </c>
      <c r="AX22" s="646">
        <f t="shared" si="126"/>
        <v>1094.2061814422921</v>
      </c>
      <c r="AY22" s="544">
        <f t="shared" si="80"/>
        <v>2.5960779735640915E-5</v>
      </c>
      <c r="AZ22" s="548">
        <f t="shared" si="10"/>
        <v>81.083475000000007</v>
      </c>
      <c r="BK22" s="543">
        <f t="shared" si="117"/>
        <v>19</v>
      </c>
      <c r="BL22" s="658">
        <f t="shared" si="11"/>
        <v>19</v>
      </c>
      <c r="BM22" s="655" t="s">
        <v>408</v>
      </c>
      <c r="BN22" s="657">
        <f t="shared" si="81"/>
        <v>2.5960779735640915E-5</v>
      </c>
      <c r="BO22" s="646">
        <f t="shared" si="82"/>
        <v>248.87854167755998</v>
      </c>
      <c r="BP22" s="657">
        <f t="shared" si="83"/>
        <v>6.1383006255582371E-7</v>
      </c>
      <c r="BQ22" s="646">
        <f t="shared" si="84"/>
        <v>5.8846125718252535</v>
      </c>
      <c r="BR22" s="708">
        <f t="shared" si="12"/>
        <v>254.76315424938522</v>
      </c>
      <c r="BS22" s="709">
        <f t="shared" si="13"/>
        <v>18.878601</v>
      </c>
      <c r="BV22" s="15"/>
      <c r="BW22" s="190"/>
      <c r="BX22" s="190"/>
      <c r="BY22" s="190"/>
      <c r="BZ22" s="190"/>
      <c r="CA22" s="190"/>
      <c r="CB22" s="190"/>
      <c r="CC22" s="190"/>
      <c r="CD22" s="190"/>
      <c r="CH22" s="543">
        <f t="shared" si="118"/>
        <v>19</v>
      </c>
      <c r="CI22" s="678">
        <f t="shared" si="15"/>
        <v>19</v>
      </c>
      <c r="CJ22" s="655" t="s">
        <v>408</v>
      </c>
      <c r="CK22" s="657">
        <f t="shared" si="16"/>
        <v>6.1383006255582371E-7</v>
      </c>
      <c r="CL22" s="646">
        <f t="shared" si="17"/>
        <v>3.5981114801002949</v>
      </c>
      <c r="CM22" s="657">
        <f t="shared" si="18"/>
        <v>3.0227059595255289E-5</v>
      </c>
      <c r="CN22" s="646">
        <f t="shared" si="19"/>
        <v>580.72160249824765</v>
      </c>
      <c r="CO22" s="646">
        <f t="shared" si="20"/>
        <v>584.31971397834798</v>
      </c>
      <c r="CP22" s="657">
        <f t="shared" si="21"/>
        <v>2.3304072559172144E-5</v>
      </c>
      <c r="CQ22" s="709">
        <f t="shared" si="22"/>
        <v>43.299584000000003</v>
      </c>
      <c r="DD22" s="15"/>
      <c r="DG22" s="545">
        <f t="shared" si="119"/>
        <v>19</v>
      </c>
      <c r="DH22" s="739">
        <f t="shared" si="24"/>
        <v>19</v>
      </c>
      <c r="DI22" s="655" t="s">
        <v>408</v>
      </c>
      <c r="DJ22" s="657">
        <f t="shared" si="25"/>
        <v>2.3304072559172144E-5</v>
      </c>
      <c r="DK22" s="646">
        <f t="shared" si="85"/>
        <v>8.7785214272288048</v>
      </c>
      <c r="DL22" s="657">
        <f t="shared" si="26"/>
        <v>3.0227059595255289E-5</v>
      </c>
      <c r="DM22" s="646">
        <f t="shared" si="27"/>
        <v>73.999937938268587</v>
      </c>
      <c r="DN22" s="657">
        <f t="shared" si="28"/>
        <v>6.1383006255582371E-7</v>
      </c>
      <c r="DO22" s="646">
        <f t="shared" si="29"/>
        <v>2.1783994194474774</v>
      </c>
      <c r="DP22" s="646">
        <f t="shared" si="86"/>
        <v>84.95685878494487</v>
      </c>
      <c r="DQ22" s="657">
        <f t="shared" si="30"/>
        <v>1.3329296221758027E-5</v>
      </c>
      <c r="DR22" s="709">
        <f t="shared" si="31"/>
        <v>6.2955199999999998</v>
      </c>
      <c r="DV22" s="545">
        <f t="shared" si="120"/>
        <v>19</v>
      </c>
      <c r="DW22" s="739">
        <f t="shared" si="32"/>
        <v>19</v>
      </c>
      <c r="DX22" s="655" t="s">
        <v>408</v>
      </c>
      <c r="DY22" s="657">
        <f t="shared" si="33"/>
        <v>3.0227059595255289E-5</v>
      </c>
      <c r="DZ22" s="646">
        <f t="shared" si="34"/>
        <v>122.10198562909389</v>
      </c>
      <c r="EA22" s="709">
        <f t="shared" si="35"/>
        <v>9.0480689999999999</v>
      </c>
      <c r="EM22" s="545">
        <f t="shared" si="121"/>
        <v>19</v>
      </c>
      <c r="EN22" s="739">
        <f t="shared" si="36"/>
        <v>19</v>
      </c>
      <c r="EO22" s="655" t="s">
        <v>408</v>
      </c>
      <c r="EP22" s="657">
        <f t="shared" si="37"/>
        <v>2.2109030666538971E-5</v>
      </c>
      <c r="EQ22" s="646">
        <f t="shared" si="38"/>
        <v>174.12105287266897</v>
      </c>
      <c r="ER22" s="657">
        <f t="shared" si="39"/>
        <v>2.3304072559172144E-5</v>
      </c>
      <c r="ES22" s="646">
        <f t="shared" si="40"/>
        <v>23.690994730247692</v>
      </c>
      <c r="ET22" s="657">
        <f t="shared" si="41"/>
        <v>6.1383006255582371E-7</v>
      </c>
      <c r="EU22" s="646">
        <f t="shared" si="42"/>
        <v>2.6416172833476681</v>
      </c>
      <c r="EV22" s="646">
        <f t="shared" si="43"/>
        <v>200.45366488626433</v>
      </c>
      <c r="EW22" s="657">
        <f t="shared" si="44"/>
        <v>1.5190872449367512E-5</v>
      </c>
      <c r="EX22" s="709">
        <f t="shared" si="45"/>
        <v>14.854129</v>
      </c>
      <c r="FH22" s="545">
        <f t="shared" si="122"/>
        <v>19</v>
      </c>
      <c r="FI22" s="669">
        <f t="shared" si="46"/>
        <v>19</v>
      </c>
      <c r="FJ22" s="655" t="s">
        <v>408</v>
      </c>
      <c r="FK22" s="657">
        <f t="shared" si="47"/>
        <v>2.2109030666538971E-5</v>
      </c>
      <c r="FL22" s="646">
        <f t="shared" si="48"/>
        <v>436.52417060709013</v>
      </c>
      <c r="FM22" s="709">
        <f t="shared" si="49"/>
        <v>32.347557000000002</v>
      </c>
      <c r="FQ22" s="543">
        <v>19</v>
      </c>
      <c r="FR22" s="669">
        <v>19</v>
      </c>
      <c r="FS22" s="655" t="s">
        <v>408</v>
      </c>
      <c r="FT22" s="646">
        <f t="shared" si="50"/>
        <v>1094.2061814422921</v>
      </c>
      <c r="FU22" s="646">
        <f t="shared" si="51"/>
        <v>254.76315424938522</v>
      </c>
      <c r="FV22" s="646">
        <f t="shared" si="52"/>
        <v>584.31971397834798</v>
      </c>
      <c r="FW22" s="646">
        <f t="shared" si="88"/>
        <v>84.95685878494487</v>
      </c>
      <c r="FX22" s="646">
        <f t="shared" si="53"/>
        <v>122.10198562909389</v>
      </c>
      <c r="FY22" s="646">
        <f t="shared" si="54"/>
        <v>200.45366488626433</v>
      </c>
      <c r="FZ22" s="646">
        <f t="shared" si="55"/>
        <v>436.52417060709013</v>
      </c>
      <c r="GA22" s="646">
        <f t="shared" si="56"/>
        <v>2777.3257295774188</v>
      </c>
      <c r="GB22" s="746">
        <f t="shared" si="57"/>
        <v>205.80693600000001</v>
      </c>
      <c r="GF22" s="545">
        <f t="shared" si="89"/>
        <v>19</v>
      </c>
      <c r="GG22" s="669">
        <f t="shared" si="58"/>
        <v>19</v>
      </c>
      <c r="GH22" s="655" t="s">
        <v>408</v>
      </c>
      <c r="GI22" s="709">
        <f t="shared" si="59"/>
        <v>81.083475000000007</v>
      </c>
      <c r="GJ22" s="709">
        <f t="shared" si="60"/>
        <v>18.878601</v>
      </c>
      <c r="GK22" s="709">
        <f t="shared" si="61"/>
        <v>43.299584000000003</v>
      </c>
      <c r="GL22" s="709">
        <f t="shared" si="62"/>
        <v>6.2955199999999998</v>
      </c>
      <c r="GM22" s="709">
        <f t="shared" si="63"/>
        <v>9.0480689999999999</v>
      </c>
      <c r="GN22" s="709">
        <f t="shared" si="64"/>
        <v>14.854129</v>
      </c>
      <c r="GO22" s="709">
        <f t="shared" si="65"/>
        <v>32.347557000000002</v>
      </c>
      <c r="GP22" s="709">
        <f t="shared" si="66"/>
        <v>205.80693600000001</v>
      </c>
      <c r="GQ22" s="656">
        <f t="shared" si="90"/>
        <v>1349.4811125848451</v>
      </c>
      <c r="GR22" s="530"/>
      <c r="GU22" s="543">
        <f t="shared" si="91"/>
        <v>19</v>
      </c>
      <c r="GV22" s="669">
        <f t="shared" si="67"/>
        <v>19</v>
      </c>
      <c r="GW22" s="655" t="s">
        <v>408</v>
      </c>
      <c r="GX22" s="658" t="s">
        <v>379</v>
      </c>
      <c r="GY22" s="646">
        <f t="shared" si="68"/>
        <v>2777.3257295774188</v>
      </c>
      <c r="GZ22" s="656">
        <f t="shared" si="69"/>
        <v>1349.4811125848451</v>
      </c>
      <c r="HA22" s="709">
        <f t="shared" si="92"/>
        <v>205.80693600000001</v>
      </c>
      <c r="HB22" s="646">
        <f t="shared" si="70"/>
        <v>2777.3257297095802</v>
      </c>
      <c r="HC22" s="749">
        <f t="shared" si="71"/>
        <v>1.3216140359872952E-7</v>
      </c>
      <c r="HD22" s="549"/>
      <c r="HG22" s="549"/>
      <c r="HH22" s="549"/>
      <c r="HI22" s="549"/>
      <c r="HJ22" s="549"/>
      <c r="HK22" s="549"/>
      <c r="HL22" s="549"/>
      <c r="HM22" s="549"/>
      <c r="HP22" s="545">
        <f t="shared" si="123"/>
        <v>19</v>
      </c>
      <c r="HQ22" s="761">
        <f t="shared" si="72"/>
        <v>19</v>
      </c>
      <c r="HR22" s="655" t="s">
        <v>408</v>
      </c>
      <c r="HS22" s="656">
        <f t="shared" si="93"/>
        <v>1349.4811125848451</v>
      </c>
      <c r="HT22" s="756">
        <f t="shared" si="94"/>
        <v>205.80693600000001</v>
      </c>
      <c r="HU22" s="756">
        <v>233.030067</v>
      </c>
      <c r="HV22" s="647">
        <f t="shared" si="95"/>
        <v>-0.11682239699995445</v>
      </c>
      <c r="HW22" s="756">
        <f t="shared" si="96"/>
        <v>-27.223130999999995</v>
      </c>
      <c r="HX22" s="648">
        <v>10</v>
      </c>
      <c r="IO22" s="545">
        <v>19</v>
      </c>
      <c r="IP22" s="761">
        <v>19</v>
      </c>
      <c r="IQ22" s="655" t="s">
        <v>408</v>
      </c>
      <c r="IR22" s="769">
        <f t="shared" si="97"/>
        <v>2777.3257295774188</v>
      </c>
      <c r="IS22" s="770">
        <f t="shared" si="97"/>
        <v>1349.4811125848451</v>
      </c>
      <c r="IT22" s="771">
        <f t="shared" si="97"/>
        <v>205.80693600000001</v>
      </c>
      <c r="IU22" s="656">
        <f t="shared" si="98"/>
        <v>196.97945334610165</v>
      </c>
      <c r="IV22" s="656">
        <f t="shared" si="99"/>
        <v>1152.5016592387433</v>
      </c>
      <c r="IW22" s="769">
        <f t="shared" si="100"/>
        <v>2.9546918001915246</v>
      </c>
      <c r="IX22" s="769">
        <f t="shared" si="101"/>
        <v>2774.3710377772272</v>
      </c>
      <c r="IY22" s="550">
        <f t="shared" si="102"/>
        <v>205.58798577499883</v>
      </c>
      <c r="IZ22" s="550">
        <f>IY22+1.5</f>
        <v>207.08798577499883</v>
      </c>
      <c r="JA22" s="769">
        <f t="shared" si="104"/>
        <v>2777.3257295774183</v>
      </c>
      <c r="JB22" s="746">
        <f t="shared" si="105"/>
        <v>0.21895022500117989</v>
      </c>
      <c r="JF22" s="545">
        <f t="shared" si="124"/>
        <v>19</v>
      </c>
      <c r="JG22" s="761">
        <f t="shared" si="73"/>
        <v>19</v>
      </c>
      <c r="JH22" s="655" t="s">
        <v>408</v>
      </c>
      <c r="JI22" s="656">
        <f t="shared" si="106"/>
        <v>1349.4811125848451</v>
      </c>
      <c r="JJ22" s="756">
        <f t="shared" si="107"/>
        <v>205.58798577499883</v>
      </c>
      <c r="JK22" s="756">
        <v>232.80783427268813</v>
      </c>
      <c r="JL22" s="647">
        <f t="shared" si="127"/>
        <v>-0.11691981321301526</v>
      </c>
      <c r="JM22" s="756">
        <f t="shared" si="109"/>
        <v>-27.219848497689298</v>
      </c>
      <c r="JN22" s="648">
        <v>10</v>
      </c>
      <c r="JS22" s="756">
        <v>206.41586917383711</v>
      </c>
      <c r="JT22" s="756">
        <f t="shared" si="110"/>
        <v>-0.82788339883828144</v>
      </c>
      <c r="JU22" s="1009">
        <v>1476</v>
      </c>
      <c r="JV22" s="1009">
        <f t="shared" si="125"/>
        <v>126.51888741515495</v>
      </c>
      <c r="JW22" s="1069">
        <f t="shared" si="111"/>
        <v>-4.0107546098651142E-3</v>
      </c>
      <c r="JX22" s="997">
        <v>3046.6982290058354</v>
      </c>
      <c r="JY22" s="997">
        <f t="shared" si="112"/>
        <v>2774.3710377772268</v>
      </c>
      <c r="JZ22" s="516"/>
      <c r="KA22" s="516"/>
      <c r="KB22" s="516"/>
      <c r="KC22" s="516"/>
      <c r="KE22" s="516"/>
      <c r="KF22" s="516"/>
    </row>
    <row r="23" spans="2:292" ht="16.5" x14ac:dyDescent="0.3">
      <c r="I23" s="222">
        <v>20</v>
      </c>
      <c r="J23" s="659">
        <f t="shared" si="1"/>
        <v>20</v>
      </c>
      <c r="K23" s="660" t="s">
        <v>409</v>
      </c>
      <c r="L23" s="991"/>
      <c r="M23" s="662">
        <f t="shared" si="2"/>
        <v>0</v>
      </c>
      <c r="N23" s="661">
        <v>798</v>
      </c>
      <c r="O23" s="661">
        <f t="shared" si="75"/>
        <v>0</v>
      </c>
      <c r="P23" s="662">
        <f t="shared" si="3"/>
        <v>0</v>
      </c>
      <c r="Q23" s="663" t="s">
        <v>384</v>
      </c>
      <c r="U23" s="551">
        <f t="shared" si="114"/>
        <v>20</v>
      </c>
      <c r="V23" s="670">
        <f t="shared" si="4"/>
        <v>20</v>
      </c>
      <c r="W23" s="660" t="s">
        <v>409</v>
      </c>
      <c r="X23" s="671">
        <f t="shared" si="76"/>
        <v>0</v>
      </c>
      <c r="Y23" s="662">
        <f t="shared" si="5"/>
        <v>0</v>
      </c>
      <c r="AC23" s="551">
        <f t="shared" si="115"/>
        <v>20</v>
      </c>
      <c r="AD23" s="681">
        <v>20</v>
      </c>
      <c r="AE23" s="682" t="s">
        <v>409</v>
      </c>
      <c r="AF23" s="683">
        <v>4.6900000000000004</v>
      </c>
      <c r="AP23" s="551">
        <f t="shared" si="78"/>
        <v>20</v>
      </c>
      <c r="AQ23" s="697">
        <f t="shared" si="6"/>
        <v>20</v>
      </c>
      <c r="AR23" s="660" t="s">
        <v>409</v>
      </c>
      <c r="AS23" s="660">
        <f t="shared" si="7"/>
        <v>4.6900000000000004</v>
      </c>
      <c r="AT23" s="698">
        <f t="shared" si="79"/>
        <v>0</v>
      </c>
      <c r="AU23" s="698">
        <f t="shared" si="116"/>
        <v>0</v>
      </c>
      <c r="AV23" s="699">
        <f t="shared" si="8"/>
        <v>0</v>
      </c>
      <c r="AW23" s="700">
        <f t="shared" si="9"/>
        <v>21.592508896755891</v>
      </c>
      <c r="AX23" s="671">
        <f t="shared" si="126"/>
        <v>0</v>
      </c>
      <c r="AY23" s="465">
        <f t="shared" si="80"/>
        <v>0</v>
      </c>
      <c r="AZ23" s="553">
        <f t="shared" si="10"/>
        <v>0</v>
      </c>
      <c r="BK23" s="222">
        <f t="shared" si="117"/>
        <v>20</v>
      </c>
      <c r="BL23" s="663">
        <f t="shared" si="11"/>
        <v>20</v>
      </c>
      <c r="BM23" s="660" t="s">
        <v>409</v>
      </c>
      <c r="BN23" s="662">
        <f t="shared" si="81"/>
        <v>0</v>
      </c>
      <c r="BO23" s="671">
        <f t="shared" si="82"/>
        <v>0</v>
      </c>
      <c r="BP23" s="662">
        <f t="shared" si="83"/>
        <v>0</v>
      </c>
      <c r="BQ23" s="671">
        <f t="shared" si="84"/>
        <v>0</v>
      </c>
      <c r="BR23" s="710">
        <f t="shared" si="12"/>
        <v>0</v>
      </c>
      <c r="BS23" s="711">
        <f t="shared" si="13"/>
        <v>0</v>
      </c>
      <c r="BV23" s="15"/>
      <c r="BW23" s="190"/>
      <c r="BX23" s="190"/>
      <c r="BY23" s="190"/>
      <c r="BZ23" s="190"/>
      <c r="CA23" s="190"/>
      <c r="CB23" s="190"/>
      <c r="CC23" s="190"/>
      <c r="CD23" s="190"/>
      <c r="CH23" s="222">
        <f t="shared" si="118"/>
        <v>20</v>
      </c>
      <c r="CI23" s="681">
        <f t="shared" si="15"/>
        <v>20</v>
      </c>
      <c r="CJ23" s="660" t="s">
        <v>409</v>
      </c>
      <c r="CK23" s="723">
        <f t="shared" si="16"/>
        <v>0</v>
      </c>
      <c r="CL23" s="650">
        <f t="shared" si="17"/>
        <v>0</v>
      </c>
      <c r="CM23" s="723">
        <f t="shared" si="18"/>
        <v>0</v>
      </c>
      <c r="CN23" s="650">
        <f t="shared" si="19"/>
        <v>0</v>
      </c>
      <c r="CO23" s="650">
        <f t="shared" si="20"/>
        <v>0</v>
      </c>
      <c r="CP23" s="723">
        <f t="shared" si="21"/>
        <v>0</v>
      </c>
      <c r="CQ23" s="724">
        <f t="shared" si="22"/>
        <v>0</v>
      </c>
      <c r="DD23" s="15"/>
      <c r="DG23" s="551">
        <f t="shared" si="119"/>
        <v>20</v>
      </c>
      <c r="DH23" s="677">
        <f t="shared" si="24"/>
        <v>20</v>
      </c>
      <c r="DI23" s="660" t="s">
        <v>409</v>
      </c>
      <c r="DJ23" s="723">
        <f t="shared" si="25"/>
        <v>0</v>
      </c>
      <c r="DK23" s="650">
        <f t="shared" si="85"/>
        <v>0</v>
      </c>
      <c r="DL23" s="723">
        <f t="shared" si="26"/>
        <v>0</v>
      </c>
      <c r="DM23" s="650">
        <f t="shared" si="27"/>
        <v>0</v>
      </c>
      <c r="DN23" s="723">
        <f t="shared" si="28"/>
        <v>0</v>
      </c>
      <c r="DO23" s="650">
        <f t="shared" si="29"/>
        <v>0</v>
      </c>
      <c r="DP23" s="650">
        <f t="shared" si="86"/>
        <v>0</v>
      </c>
      <c r="DQ23" s="723">
        <f t="shared" si="30"/>
        <v>0</v>
      </c>
      <c r="DR23" s="724">
        <f t="shared" si="31"/>
        <v>0</v>
      </c>
      <c r="DV23" s="551">
        <f t="shared" si="120"/>
        <v>20</v>
      </c>
      <c r="DW23" s="677">
        <f t="shared" si="32"/>
        <v>20</v>
      </c>
      <c r="DX23" s="660" t="s">
        <v>409</v>
      </c>
      <c r="DY23" s="723">
        <f t="shared" si="33"/>
        <v>0</v>
      </c>
      <c r="DZ23" s="650">
        <f t="shared" si="34"/>
        <v>0</v>
      </c>
      <c r="EA23" s="724">
        <f t="shared" si="35"/>
        <v>0</v>
      </c>
      <c r="EM23" s="551">
        <f t="shared" si="121"/>
        <v>20</v>
      </c>
      <c r="EN23" s="677">
        <f t="shared" si="36"/>
        <v>20</v>
      </c>
      <c r="EO23" s="660" t="s">
        <v>409</v>
      </c>
      <c r="EP23" s="723">
        <f t="shared" si="37"/>
        <v>0</v>
      </c>
      <c r="EQ23" s="650">
        <f t="shared" si="38"/>
        <v>0</v>
      </c>
      <c r="ER23" s="723">
        <f t="shared" si="39"/>
        <v>0</v>
      </c>
      <c r="ES23" s="650">
        <f t="shared" si="40"/>
        <v>0</v>
      </c>
      <c r="ET23" s="723">
        <f t="shared" si="41"/>
        <v>0</v>
      </c>
      <c r="EU23" s="650">
        <f t="shared" si="42"/>
        <v>0</v>
      </c>
      <c r="EV23" s="650">
        <f t="shared" si="43"/>
        <v>0</v>
      </c>
      <c r="EW23" s="723">
        <f t="shared" si="44"/>
        <v>0</v>
      </c>
      <c r="EX23" s="724">
        <f t="shared" si="45"/>
        <v>0</v>
      </c>
      <c r="FH23" s="551">
        <f t="shared" si="122"/>
        <v>20</v>
      </c>
      <c r="FI23" s="670">
        <f t="shared" si="46"/>
        <v>20</v>
      </c>
      <c r="FJ23" s="660" t="s">
        <v>409</v>
      </c>
      <c r="FK23" s="723">
        <f t="shared" si="47"/>
        <v>0</v>
      </c>
      <c r="FL23" s="650">
        <f t="shared" si="48"/>
        <v>0</v>
      </c>
      <c r="FM23" s="724">
        <f t="shared" si="49"/>
        <v>0</v>
      </c>
      <c r="FQ23" s="222">
        <v>20</v>
      </c>
      <c r="FR23" s="670">
        <v>20</v>
      </c>
      <c r="FS23" s="660" t="s">
        <v>409</v>
      </c>
      <c r="FT23" s="650">
        <f t="shared" si="50"/>
        <v>0</v>
      </c>
      <c r="FU23" s="650">
        <f t="shared" si="51"/>
        <v>0</v>
      </c>
      <c r="FV23" s="650">
        <f t="shared" si="52"/>
        <v>0</v>
      </c>
      <c r="FW23" s="650">
        <f t="shared" si="88"/>
        <v>0</v>
      </c>
      <c r="FX23" s="650">
        <f t="shared" si="53"/>
        <v>0</v>
      </c>
      <c r="FY23" s="650">
        <f t="shared" si="54"/>
        <v>0</v>
      </c>
      <c r="FZ23" s="650">
        <f t="shared" si="55"/>
        <v>0</v>
      </c>
      <c r="GA23" s="650">
        <f t="shared" si="56"/>
        <v>0</v>
      </c>
      <c r="GB23" s="747">
        <f t="shared" si="57"/>
        <v>0</v>
      </c>
      <c r="GF23" s="551">
        <f t="shared" si="89"/>
        <v>20</v>
      </c>
      <c r="GG23" s="670">
        <f t="shared" si="58"/>
        <v>20</v>
      </c>
      <c r="GH23" s="660" t="s">
        <v>409</v>
      </c>
      <c r="GI23" s="724">
        <f t="shared" si="59"/>
        <v>0</v>
      </c>
      <c r="GJ23" s="724">
        <f t="shared" si="60"/>
        <v>0</v>
      </c>
      <c r="GK23" s="724">
        <f t="shared" si="61"/>
        <v>0</v>
      </c>
      <c r="GL23" s="724">
        <f t="shared" si="62"/>
        <v>0</v>
      </c>
      <c r="GM23" s="724">
        <f t="shared" si="63"/>
        <v>0</v>
      </c>
      <c r="GN23" s="724">
        <f t="shared" si="64"/>
        <v>0</v>
      </c>
      <c r="GO23" s="724">
        <f t="shared" si="65"/>
        <v>0</v>
      </c>
      <c r="GP23" s="724">
        <f t="shared" si="66"/>
        <v>0</v>
      </c>
      <c r="GQ23" s="661">
        <f t="shared" si="90"/>
        <v>0</v>
      </c>
      <c r="GR23" s="530"/>
      <c r="GU23" s="222">
        <f t="shared" si="91"/>
        <v>20</v>
      </c>
      <c r="GV23" s="670">
        <f t="shared" si="67"/>
        <v>20</v>
      </c>
      <c r="GW23" s="660" t="s">
        <v>409</v>
      </c>
      <c r="GX23" s="663" t="s">
        <v>384</v>
      </c>
      <c r="GY23" s="671">
        <f t="shared" si="68"/>
        <v>0</v>
      </c>
      <c r="GZ23" s="661">
        <f t="shared" si="69"/>
        <v>0</v>
      </c>
      <c r="HA23" s="724">
        <f t="shared" si="92"/>
        <v>0</v>
      </c>
      <c r="HB23" s="650">
        <f t="shared" si="70"/>
        <v>0</v>
      </c>
      <c r="HC23" s="750">
        <f t="shared" si="71"/>
        <v>0</v>
      </c>
      <c r="HD23" s="549"/>
      <c r="HG23" s="549"/>
      <c r="HH23" s="549"/>
      <c r="HI23" s="549"/>
      <c r="HJ23" s="549"/>
      <c r="HK23" s="549"/>
      <c r="HL23" s="549"/>
      <c r="HM23" s="549"/>
      <c r="HP23" s="551">
        <f t="shared" si="123"/>
        <v>20</v>
      </c>
      <c r="HQ23" s="762">
        <f t="shared" si="72"/>
        <v>20</v>
      </c>
      <c r="HR23" s="660" t="s">
        <v>409</v>
      </c>
      <c r="HS23" s="661">
        <f t="shared" si="93"/>
        <v>0</v>
      </c>
      <c r="HT23" s="757">
        <f t="shared" si="94"/>
        <v>0</v>
      </c>
      <c r="HU23" s="757">
        <v>7.2849089999999999</v>
      </c>
      <c r="HV23" s="651">
        <f t="shared" si="95"/>
        <v>-1</v>
      </c>
      <c r="HW23" s="757">
        <f t="shared" si="96"/>
        <v>-7.2849089999999999</v>
      </c>
      <c r="HX23" s="652">
        <v>10</v>
      </c>
      <c r="IO23" s="551">
        <v>20</v>
      </c>
      <c r="IP23" s="762">
        <v>20</v>
      </c>
      <c r="IQ23" s="660" t="s">
        <v>409</v>
      </c>
      <c r="IR23" s="772">
        <f t="shared" si="97"/>
        <v>0</v>
      </c>
      <c r="IS23" s="773">
        <f t="shared" si="97"/>
        <v>0</v>
      </c>
      <c r="IT23" s="774">
        <f t="shared" si="97"/>
        <v>0</v>
      </c>
      <c r="IU23" s="991">
        <v>0</v>
      </c>
      <c r="IV23" s="661">
        <f t="shared" si="99"/>
        <v>0</v>
      </c>
      <c r="IW23" s="772">
        <f t="shared" si="100"/>
        <v>0</v>
      </c>
      <c r="IX23" s="772">
        <f t="shared" si="101"/>
        <v>0</v>
      </c>
      <c r="IY23" s="455">
        <f>IT23</f>
        <v>0</v>
      </c>
      <c r="IZ23" s="555">
        <f t="shared" ref="IZ23:IZ24" si="129">IY23</f>
        <v>0</v>
      </c>
      <c r="JA23" s="772">
        <f t="shared" si="104"/>
        <v>0</v>
      </c>
      <c r="JB23" s="778">
        <f t="shared" si="105"/>
        <v>0</v>
      </c>
      <c r="JF23" s="551">
        <f t="shared" si="124"/>
        <v>20</v>
      </c>
      <c r="JG23" s="762">
        <f t="shared" si="73"/>
        <v>20</v>
      </c>
      <c r="JH23" s="660" t="s">
        <v>409</v>
      </c>
      <c r="JI23" s="661">
        <f t="shared" si="106"/>
        <v>0</v>
      </c>
      <c r="JJ23" s="757">
        <f t="shared" si="107"/>
        <v>0</v>
      </c>
      <c r="JK23" s="757">
        <v>7.2849089999999999</v>
      </c>
      <c r="JL23" s="651">
        <f t="shared" si="127"/>
        <v>-1</v>
      </c>
      <c r="JM23" s="757">
        <f t="shared" si="109"/>
        <v>-7.2849089999999999</v>
      </c>
      <c r="JN23" s="652">
        <v>10</v>
      </c>
      <c r="JS23" s="757">
        <v>0</v>
      </c>
      <c r="JT23" s="757">
        <f t="shared" si="110"/>
        <v>0</v>
      </c>
      <c r="JU23" s="1010">
        <v>0</v>
      </c>
      <c r="JV23" s="1010">
        <f t="shared" si="125"/>
        <v>0</v>
      </c>
      <c r="JW23" s="1069"/>
      <c r="JX23" s="997">
        <v>0</v>
      </c>
      <c r="JY23" s="997">
        <f t="shared" si="112"/>
        <v>0</v>
      </c>
      <c r="JZ23" s="516"/>
      <c r="KA23" s="516"/>
      <c r="KB23" s="516"/>
      <c r="KC23" s="516"/>
      <c r="KE23" s="516"/>
      <c r="KF23" s="516"/>
    </row>
    <row r="24" spans="2:292" ht="16.5" x14ac:dyDescent="0.3">
      <c r="I24" s="543">
        <v>21</v>
      </c>
      <c r="J24" s="654">
        <f t="shared" si="1"/>
        <v>21</v>
      </c>
      <c r="K24" s="655" t="s">
        <v>410</v>
      </c>
      <c r="L24" s="991">
        <v>0</v>
      </c>
      <c r="M24" s="657">
        <f t="shared" si="2"/>
        <v>0</v>
      </c>
      <c r="N24" s="656">
        <v>546</v>
      </c>
      <c r="O24" s="656">
        <f t="shared" si="75"/>
        <v>0</v>
      </c>
      <c r="P24" s="657">
        <f t="shared" si="3"/>
        <v>0</v>
      </c>
      <c r="Q24" s="658" t="s">
        <v>384</v>
      </c>
      <c r="U24" s="545">
        <f t="shared" si="114"/>
        <v>21</v>
      </c>
      <c r="V24" s="669">
        <f t="shared" si="4"/>
        <v>21</v>
      </c>
      <c r="W24" s="655" t="s">
        <v>410</v>
      </c>
      <c r="X24" s="646">
        <f t="shared" si="76"/>
        <v>0</v>
      </c>
      <c r="Y24" s="657">
        <f t="shared" si="5"/>
        <v>0</v>
      </c>
      <c r="AC24" s="545">
        <f t="shared" si="115"/>
        <v>21</v>
      </c>
      <c r="AD24" s="678">
        <v>21</v>
      </c>
      <c r="AE24" s="679" t="s">
        <v>410</v>
      </c>
      <c r="AF24" s="680">
        <v>5.0999999999999996</v>
      </c>
      <c r="AP24" s="545">
        <f t="shared" si="78"/>
        <v>21</v>
      </c>
      <c r="AQ24" s="693">
        <f t="shared" si="6"/>
        <v>21</v>
      </c>
      <c r="AR24" s="655" t="s">
        <v>410</v>
      </c>
      <c r="AS24" s="655">
        <f t="shared" si="7"/>
        <v>5.0999999999999996</v>
      </c>
      <c r="AT24" s="694">
        <f t="shared" si="79"/>
        <v>0</v>
      </c>
      <c r="AU24" s="694">
        <f t="shared" si="116"/>
        <v>0</v>
      </c>
      <c r="AV24" s="695">
        <f t="shared" si="8"/>
        <v>0</v>
      </c>
      <c r="AW24" s="696">
        <f t="shared" si="9"/>
        <v>21.592508896755891</v>
      </c>
      <c r="AX24" s="646">
        <f t="shared" si="126"/>
        <v>0</v>
      </c>
      <c r="AY24" s="544">
        <f t="shared" si="80"/>
        <v>0</v>
      </c>
      <c r="AZ24" s="548">
        <f t="shared" si="10"/>
        <v>0</v>
      </c>
      <c r="BK24" s="543">
        <f t="shared" si="117"/>
        <v>21</v>
      </c>
      <c r="BL24" s="658">
        <f t="shared" si="11"/>
        <v>21</v>
      </c>
      <c r="BM24" s="655" t="s">
        <v>410</v>
      </c>
      <c r="BN24" s="657">
        <f t="shared" si="81"/>
        <v>0</v>
      </c>
      <c r="BO24" s="646">
        <f t="shared" si="82"/>
        <v>0</v>
      </c>
      <c r="BP24" s="657">
        <f t="shared" si="83"/>
        <v>0</v>
      </c>
      <c r="BQ24" s="646">
        <f t="shared" si="84"/>
        <v>0</v>
      </c>
      <c r="BR24" s="708">
        <f t="shared" si="12"/>
        <v>0</v>
      </c>
      <c r="BS24" s="709">
        <f t="shared" si="13"/>
        <v>0</v>
      </c>
      <c r="BV24" s="15"/>
      <c r="BW24" s="190"/>
      <c r="BX24" s="190"/>
      <c r="BY24" s="190"/>
      <c r="BZ24" s="190"/>
      <c r="CA24" s="190"/>
      <c r="CB24" s="190"/>
      <c r="CC24" s="190"/>
      <c r="CD24" s="190"/>
      <c r="CH24" s="543">
        <f t="shared" si="118"/>
        <v>21</v>
      </c>
      <c r="CI24" s="678">
        <f t="shared" si="15"/>
        <v>21</v>
      </c>
      <c r="CJ24" s="655" t="s">
        <v>410</v>
      </c>
      <c r="CK24" s="657">
        <f t="shared" si="16"/>
        <v>0</v>
      </c>
      <c r="CL24" s="646">
        <f t="shared" si="17"/>
        <v>0</v>
      </c>
      <c r="CM24" s="657">
        <f t="shared" si="18"/>
        <v>0</v>
      </c>
      <c r="CN24" s="646">
        <f t="shared" si="19"/>
        <v>0</v>
      </c>
      <c r="CO24" s="646">
        <f t="shared" si="20"/>
        <v>0</v>
      </c>
      <c r="CP24" s="657">
        <f t="shared" si="21"/>
        <v>0</v>
      </c>
      <c r="CQ24" s="709">
        <f t="shared" si="22"/>
        <v>0</v>
      </c>
      <c r="DD24" s="15"/>
      <c r="DG24" s="545">
        <f t="shared" si="119"/>
        <v>21</v>
      </c>
      <c r="DH24" s="739">
        <f t="shared" si="24"/>
        <v>21</v>
      </c>
      <c r="DI24" s="655" t="s">
        <v>410</v>
      </c>
      <c r="DJ24" s="657">
        <f t="shared" si="25"/>
        <v>0</v>
      </c>
      <c r="DK24" s="646">
        <f t="shared" si="85"/>
        <v>0</v>
      </c>
      <c r="DL24" s="657">
        <f t="shared" si="26"/>
        <v>0</v>
      </c>
      <c r="DM24" s="646">
        <f t="shared" si="27"/>
        <v>0</v>
      </c>
      <c r="DN24" s="657">
        <f t="shared" si="28"/>
        <v>0</v>
      </c>
      <c r="DO24" s="646">
        <f t="shared" si="29"/>
        <v>0</v>
      </c>
      <c r="DP24" s="646">
        <f t="shared" si="86"/>
        <v>0</v>
      </c>
      <c r="DQ24" s="657">
        <f t="shared" si="30"/>
        <v>0</v>
      </c>
      <c r="DR24" s="709">
        <f t="shared" si="31"/>
        <v>0</v>
      </c>
      <c r="DV24" s="545">
        <f t="shared" si="120"/>
        <v>21</v>
      </c>
      <c r="DW24" s="739">
        <f t="shared" si="32"/>
        <v>21</v>
      </c>
      <c r="DX24" s="655" t="s">
        <v>410</v>
      </c>
      <c r="DY24" s="657">
        <f t="shared" si="33"/>
        <v>0</v>
      </c>
      <c r="DZ24" s="646">
        <f t="shared" si="34"/>
        <v>0</v>
      </c>
      <c r="EA24" s="709">
        <f t="shared" si="35"/>
        <v>0</v>
      </c>
      <c r="EM24" s="545">
        <f t="shared" si="121"/>
        <v>21</v>
      </c>
      <c r="EN24" s="739">
        <f t="shared" si="36"/>
        <v>21</v>
      </c>
      <c r="EO24" s="655" t="s">
        <v>410</v>
      </c>
      <c r="EP24" s="657">
        <f t="shared" si="37"/>
        <v>0</v>
      </c>
      <c r="EQ24" s="646">
        <f t="shared" si="38"/>
        <v>0</v>
      </c>
      <c r="ER24" s="657">
        <f t="shared" si="39"/>
        <v>0</v>
      </c>
      <c r="ES24" s="646">
        <f t="shared" si="40"/>
        <v>0</v>
      </c>
      <c r="ET24" s="657">
        <f t="shared" si="41"/>
        <v>0</v>
      </c>
      <c r="EU24" s="646">
        <f t="shared" si="42"/>
        <v>0</v>
      </c>
      <c r="EV24" s="646">
        <f t="shared" si="43"/>
        <v>0</v>
      </c>
      <c r="EW24" s="657">
        <f t="shared" si="44"/>
        <v>0</v>
      </c>
      <c r="EX24" s="709">
        <f t="shared" si="45"/>
        <v>0</v>
      </c>
      <c r="FH24" s="545">
        <f t="shared" si="122"/>
        <v>21</v>
      </c>
      <c r="FI24" s="669">
        <f t="shared" si="46"/>
        <v>21</v>
      </c>
      <c r="FJ24" s="655" t="s">
        <v>410</v>
      </c>
      <c r="FK24" s="657">
        <f t="shared" si="47"/>
        <v>0</v>
      </c>
      <c r="FL24" s="646">
        <f t="shared" si="48"/>
        <v>0</v>
      </c>
      <c r="FM24" s="709">
        <f t="shared" si="49"/>
        <v>0</v>
      </c>
      <c r="FQ24" s="543">
        <v>21</v>
      </c>
      <c r="FR24" s="669">
        <v>21</v>
      </c>
      <c r="FS24" s="655" t="s">
        <v>410</v>
      </c>
      <c r="FT24" s="646">
        <f t="shared" si="50"/>
        <v>0</v>
      </c>
      <c r="FU24" s="646">
        <f t="shared" si="51"/>
        <v>0</v>
      </c>
      <c r="FV24" s="646">
        <f t="shared" si="52"/>
        <v>0</v>
      </c>
      <c r="FW24" s="646">
        <f t="shared" si="88"/>
        <v>0</v>
      </c>
      <c r="FX24" s="646">
        <f t="shared" si="53"/>
        <v>0</v>
      </c>
      <c r="FY24" s="646">
        <f t="shared" si="54"/>
        <v>0</v>
      </c>
      <c r="FZ24" s="646">
        <f t="shared" si="55"/>
        <v>0</v>
      </c>
      <c r="GA24" s="646">
        <f t="shared" si="56"/>
        <v>0</v>
      </c>
      <c r="GB24" s="746">
        <f t="shared" si="57"/>
        <v>0</v>
      </c>
      <c r="GF24" s="545">
        <f t="shared" si="89"/>
        <v>21</v>
      </c>
      <c r="GG24" s="669">
        <f t="shared" si="58"/>
        <v>21</v>
      </c>
      <c r="GH24" s="655" t="s">
        <v>410</v>
      </c>
      <c r="GI24" s="709">
        <f t="shared" si="59"/>
        <v>0</v>
      </c>
      <c r="GJ24" s="709">
        <f t="shared" si="60"/>
        <v>0</v>
      </c>
      <c r="GK24" s="709">
        <f t="shared" si="61"/>
        <v>0</v>
      </c>
      <c r="GL24" s="709">
        <f t="shared" si="62"/>
        <v>0</v>
      </c>
      <c r="GM24" s="709">
        <f t="shared" si="63"/>
        <v>0</v>
      </c>
      <c r="GN24" s="709">
        <f t="shared" si="64"/>
        <v>0</v>
      </c>
      <c r="GO24" s="709">
        <f t="shared" si="65"/>
        <v>0</v>
      </c>
      <c r="GP24" s="709">
        <f t="shared" si="66"/>
        <v>0</v>
      </c>
      <c r="GQ24" s="656">
        <f t="shared" si="90"/>
        <v>0</v>
      </c>
      <c r="GR24" s="530"/>
      <c r="GU24" s="543">
        <f t="shared" si="91"/>
        <v>21</v>
      </c>
      <c r="GV24" s="669">
        <f t="shared" si="67"/>
        <v>21</v>
      </c>
      <c r="GW24" s="655" t="s">
        <v>410</v>
      </c>
      <c r="GX24" s="658" t="s">
        <v>384</v>
      </c>
      <c r="GY24" s="646">
        <f t="shared" si="68"/>
        <v>0</v>
      </c>
      <c r="GZ24" s="656">
        <f t="shared" si="69"/>
        <v>0</v>
      </c>
      <c r="HA24" s="709">
        <f t="shared" si="92"/>
        <v>0</v>
      </c>
      <c r="HB24" s="646">
        <f t="shared" si="70"/>
        <v>0</v>
      </c>
      <c r="HC24" s="749">
        <f t="shared" si="71"/>
        <v>0</v>
      </c>
      <c r="HD24" s="549"/>
      <c r="HG24" s="549"/>
      <c r="HH24" s="549"/>
      <c r="HI24" s="549"/>
      <c r="HJ24" s="549"/>
      <c r="HK24" s="549"/>
      <c r="HL24" s="549"/>
      <c r="HM24" s="549"/>
      <c r="HP24" s="545">
        <f t="shared" si="123"/>
        <v>21</v>
      </c>
      <c r="HQ24" s="761">
        <f t="shared" si="72"/>
        <v>21</v>
      </c>
      <c r="HR24" s="655" t="s">
        <v>410</v>
      </c>
      <c r="HS24" s="656">
        <f t="shared" si="93"/>
        <v>0</v>
      </c>
      <c r="HT24" s="756">
        <f t="shared" si="94"/>
        <v>0</v>
      </c>
      <c r="HU24" s="756">
        <v>8.3326989999999999</v>
      </c>
      <c r="HV24" s="647">
        <f t="shared" si="95"/>
        <v>-1</v>
      </c>
      <c r="HW24" s="756">
        <f t="shared" si="96"/>
        <v>-8.3326989999999999</v>
      </c>
      <c r="HX24" s="648">
        <v>10</v>
      </c>
      <c r="IO24" s="545">
        <v>21</v>
      </c>
      <c r="IP24" s="761">
        <v>21</v>
      </c>
      <c r="IQ24" s="655" t="s">
        <v>410</v>
      </c>
      <c r="IR24" s="769">
        <f t="shared" si="97"/>
        <v>0</v>
      </c>
      <c r="IS24" s="770">
        <f t="shared" si="97"/>
        <v>0</v>
      </c>
      <c r="IT24" s="771">
        <f t="shared" si="97"/>
        <v>0</v>
      </c>
      <c r="IU24" s="991">
        <v>0</v>
      </c>
      <c r="IV24" s="656">
        <f t="shared" si="99"/>
        <v>0</v>
      </c>
      <c r="IW24" s="769">
        <f t="shared" si="100"/>
        <v>0</v>
      </c>
      <c r="IX24" s="769">
        <f t="shared" si="101"/>
        <v>0</v>
      </c>
      <c r="IY24" s="550">
        <f>IT24</f>
        <v>0</v>
      </c>
      <c r="IZ24" s="550">
        <f t="shared" si="129"/>
        <v>0</v>
      </c>
      <c r="JA24" s="769">
        <f t="shared" si="104"/>
        <v>0</v>
      </c>
      <c r="JB24" s="746">
        <f t="shared" si="105"/>
        <v>0</v>
      </c>
      <c r="JF24" s="545">
        <f t="shared" si="124"/>
        <v>21</v>
      </c>
      <c r="JG24" s="761">
        <f t="shared" si="73"/>
        <v>21</v>
      </c>
      <c r="JH24" s="655" t="s">
        <v>410</v>
      </c>
      <c r="JI24" s="656">
        <f>L24</f>
        <v>0</v>
      </c>
      <c r="JJ24" s="756">
        <f t="shared" si="107"/>
        <v>0</v>
      </c>
      <c r="JK24" s="756">
        <v>8.3326989999999999</v>
      </c>
      <c r="JL24" s="647">
        <f t="shared" si="127"/>
        <v>-1</v>
      </c>
      <c r="JM24" s="756">
        <f t="shared" si="109"/>
        <v>-8.3326989999999999</v>
      </c>
      <c r="JN24" s="648">
        <v>10</v>
      </c>
      <c r="JS24" s="756">
        <v>0</v>
      </c>
      <c r="JT24" s="756">
        <f t="shared" si="110"/>
        <v>0</v>
      </c>
      <c r="JU24" s="1009">
        <v>0</v>
      </c>
      <c r="JV24" s="1009">
        <f t="shared" si="125"/>
        <v>0</v>
      </c>
      <c r="JW24" s="1069"/>
      <c r="JX24" s="997">
        <v>0</v>
      </c>
      <c r="JY24" s="997">
        <f t="shared" si="112"/>
        <v>0</v>
      </c>
      <c r="JZ24" s="516"/>
      <c r="KA24" s="516"/>
      <c r="KB24" s="516"/>
      <c r="KC24" s="516"/>
      <c r="KE24" s="516"/>
      <c r="KF24" s="516"/>
    </row>
    <row r="25" spans="2:292" ht="16.5" x14ac:dyDescent="0.3">
      <c r="I25" s="222">
        <v>22</v>
      </c>
      <c r="J25" s="659">
        <f t="shared" si="1"/>
        <v>22</v>
      </c>
      <c r="K25" s="660" t="s">
        <v>411</v>
      </c>
      <c r="L25" s="991">
        <v>98040705.901109368</v>
      </c>
      <c r="M25" s="662">
        <f t="shared" si="2"/>
        <v>4.4595164819330804E-2</v>
      </c>
      <c r="N25" s="661">
        <v>1450</v>
      </c>
      <c r="O25" s="661">
        <f t="shared" si="75"/>
        <v>67614.279931799567</v>
      </c>
      <c r="P25" s="662">
        <f t="shared" si="3"/>
        <v>3.7862346681422743E-2</v>
      </c>
      <c r="Q25" s="663" t="s">
        <v>379</v>
      </c>
      <c r="U25" s="551">
        <f t="shared" si="114"/>
        <v>22</v>
      </c>
      <c r="V25" s="670">
        <f t="shared" si="4"/>
        <v>22</v>
      </c>
      <c r="W25" s="660" t="s">
        <v>411</v>
      </c>
      <c r="X25" s="671">
        <f t="shared" si="76"/>
        <v>4573022.6186429756</v>
      </c>
      <c r="Y25" s="662">
        <f t="shared" si="5"/>
        <v>4.7237693271177585E-2</v>
      </c>
      <c r="AC25" s="551">
        <f t="shared" si="115"/>
        <v>22</v>
      </c>
      <c r="AD25" s="681">
        <v>22</v>
      </c>
      <c r="AE25" s="682" t="s">
        <v>411</v>
      </c>
      <c r="AF25" s="683">
        <v>3.68</v>
      </c>
      <c r="AP25" s="551">
        <f t="shared" si="78"/>
        <v>22</v>
      </c>
      <c r="AQ25" s="697">
        <f t="shared" si="6"/>
        <v>22</v>
      </c>
      <c r="AR25" s="660" t="s">
        <v>411</v>
      </c>
      <c r="AS25" s="660">
        <f t="shared" si="7"/>
        <v>3.68</v>
      </c>
      <c r="AT25" s="698">
        <f t="shared" si="79"/>
        <v>98040705.901109368</v>
      </c>
      <c r="AU25" s="698">
        <f t="shared" si="116"/>
        <v>100219.38825446737</v>
      </c>
      <c r="AV25" s="699">
        <f t="shared" si="8"/>
        <v>103303.53887951616</v>
      </c>
      <c r="AW25" s="700">
        <f t="shared" si="9"/>
        <v>21.592508896755891</v>
      </c>
      <c r="AX25" s="671">
        <f t="shared" si="126"/>
        <v>2230582.5823223209</v>
      </c>
      <c r="AY25" s="465">
        <f t="shared" si="80"/>
        <v>5.2922076372752522E-2</v>
      </c>
      <c r="AZ25" s="553">
        <f t="shared" si="10"/>
        <v>2.2751600000000001</v>
      </c>
      <c r="BK25" s="222">
        <f t="shared" si="117"/>
        <v>22</v>
      </c>
      <c r="BL25" s="663">
        <f t="shared" si="11"/>
        <v>22</v>
      </c>
      <c r="BM25" s="660" t="s">
        <v>411</v>
      </c>
      <c r="BN25" s="662">
        <f t="shared" si="81"/>
        <v>5.2922076372752522E-2</v>
      </c>
      <c r="BO25" s="671">
        <f t="shared" si="82"/>
        <v>507348.75162924046</v>
      </c>
      <c r="BP25" s="662">
        <f t="shared" si="83"/>
        <v>4.4595164819330804E-2</v>
      </c>
      <c r="BQ25" s="671">
        <f t="shared" si="84"/>
        <v>427521.04132173798</v>
      </c>
      <c r="BR25" s="710">
        <f t="shared" si="12"/>
        <v>934869.7929509785</v>
      </c>
      <c r="BS25" s="711">
        <f t="shared" si="13"/>
        <v>0.95355299999999998</v>
      </c>
      <c r="BV25" s="15"/>
      <c r="BW25" s="190"/>
      <c r="BX25" s="190"/>
      <c r="BY25" s="190"/>
      <c r="BZ25" s="190"/>
      <c r="CA25" s="190"/>
      <c r="CB25" s="190"/>
      <c r="CC25" s="190"/>
      <c r="CD25" s="190"/>
      <c r="CH25" s="222">
        <f t="shared" si="118"/>
        <v>22</v>
      </c>
      <c r="CI25" s="681">
        <f t="shared" si="15"/>
        <v>22</v>
      </c>
      <c r="CJ25" s="660" t="s">
        <v>411</v>
      </c>
      <c r="CK25" s="723">
        <f t="shared" si="16"/>
        <v>4.4595164819330804E-2</v>
      </c>
      <c r="CL25" s="650">
        <f t="shared" si="17"/>
        <v>261405.20688298214</v>
      </c>
      <c r="CM25" s="723">
        <f t="shared" si="18"/>
        <v>3.7862346681422743E-2</v>
      </c>
      <c r="CN25" s="650">
        <f t="shared" si="19"/>
        <v>727410.5696549915</v>
      </c>
      <c r="CO25" s="650">
        <f t="shared" si="20"/>
        <v>988815.77653797367</v>
      </c>
      <c r="CP25" s="723">
        <f t="shared" si="21"/>
        <v>3.9436346323494E-2</v>
      </c>
      <c r="CQ25" s="724">
        <f t="shared" si="22"/>
        <v>1.0085770000000001</v>
      </c>
      <c r="DD25" s="15"/>
      <c r="DG25" s="551">
        <f t="shared" si="119"/>
        <v>22</v>
      </c>
      <c r="DH25" s="677">
        <f t="shared" si="24"/>
        <v>22</v>
      </c>
      <c r="DI25" s="660" t="s">
        <v>411</v>
      </c>
      <c r="DJ25" s="723">
        <f t="shared" si="25"/>
        <v>3.9436346323494E-2</v>
      </c>
      <c r="DK25" s="650">
        <f t="shared" si="85"/>
        <v>14855.464010995431</v>
      </c>
      <c r="DL25" s="723">
        <f t="shared" si="26"/>
        <v>3.7862346681422743E-2</v>
      </c>
      <c r="DM25" s="650">
        <f t="shared" si="27"/>
        <v>92692.155377967705</v>
      </c>
      <c r="DN25" s="723">
        <f t="shared" si="28"/>
        <v>4.4595164819330804E-2</v>
      </c>
      <c r="DO25" s="650">
        <f t="shared" si="29"/>
        <v>158262.17560623304</v>
      </c>
      <c r="DP25" s="650">
        <f t="shared" si="86"/>
        <v>265809.79499519616</v>
      </c>
      <c r="DQ25" s="723">
        <f t="shared" si="30"/>
        <v>4.1704196068553398E-2</v>
      </c>
      <c r="DR25" s="724">
        <f t="shared" si="31"/>
        <v>0.27112199999999997</v>
      </c>
      <c r="DV25" s="551">
        <f t="shared" si="120"/>
        <v>22</v>
      </c>
      <c r="DW25" s="677">
        <f t="shared" si="32"/>
        <v>22</v>
      </c>
      <c r="DX25" s="660" t="s">
        <v>411</v>
      </c>
      <c r="DY25" s="723">
        <f t="shared" si="33"/>
        <v>3.7862346681422743E-2</v>
      </c>
      <c r="DZ25" s="650">
        <f t="shared" si="34"/>
        <v>152944.67183650666</v>
      </c>
      <c r="EA25" s="724">
        <f t="shared" si="35"/>
        <v>0.156001</v>
      </c>
      <c r="EM25" s="551">
        <f t="shared" si="121"/>
        <v>22</v>
      </c>
      <c r="EN25" s="677">
        <f t="shared" si="36"/>
        <v>22</v>
      </c>
      <c r="EO25" s="660" t="s">
        <v>411</v>
      </c>
      <c r="EP25" s="723">
        <f t="shared" si="37"/>
        <v>4.7237693271177585E-2</v>
      </c>
      <c r="EQ25" s="650">
        <f t="shared" si="38"/>
        <v>372023.40580683696</v>
      </c>
      <c r="ER25" s="723">
        <f t="shared" si="39"/>
        <v>3.9436346323494E-2</v>
      </c>
      <c r="ES25" s="650">
        <f t="shared" si="40"/>
        <v>40091.115857876001</v>
      </c>
      <c r="ET25" s="723">
        <f t="shared" si="41"/>
        <v>4.4595164819330804E-2</v>
      </c>
      <c r="EU25" s="650">
        <f t="shared" si="42"/>
        <v>191915.26340365369</v>
      </c>
      <c r="EV25" s="650">
        <f t="shared" si="43"/>
        <v>604029.78506836668</v>
      </c>
      <c r="EW25" s="723">
        <f t="shared" si="44"/>
        <v>4.5774864858662806E-2</v>
      </c>
      <c r="EX25" s="724">
        <f t="shared" si="45"/>
        <v>0.61610100000000001</v>
      </c>
      <c r="FH25" s="551">
        <f t="shared" si="122"/>
        <v>22</v>
      </c>
      <c r="FI25" s="670">
        <f t="shared" si="46"/>
        <v>22</v>
      </c>
      <c r="FJ25" s="660" t="s">
        <v>411</v>
      </c>
      <c r="FK25" s="723">
        <f t="shared" si="47"/>
        <v>4.7237693271177585E-2</v>
      </c>
      <c r="FL25" s="650">
        <f t="shared" si="48"/>
        <v>932668.42801032262</v>
      </c>
      <c r="FM25" s="724">
        <f t="shared" si="49"/>
        <v>0.95130700000000001</v>
      </c>
      <c r="FQ25" s="222">
        <v>22</v>
      </c>
      <c r="FR25" s="670">
        <v>22</v>
      </c>
      <c r="FS25" s="660" t="s">
        <v>411</v>
      </c>
      <c r="FT25" s="650">
        <f t="shared" si="50"/>
        <v>2230582.5823223209</v>
      </c>
      <c r="FU25" s="650">
        <f t="shared" si="51"/>
        <v>934869.7929509785</v>
      </c>
      <c r="FV25" s="650">
        <f t="shared" si="52"/>
        <v>988815.77653797367</v>
      </c>
      <c r="FW25" s="650">
        <f t="shared" si="88"/>
        <v>265809.79499519616</v>
      </c>
      <c r="FX25" s="650">
        <f t="shared" si="53"/>
        <v>152944.67183650666</v>
      </c>
      <c r="FY25" s="650">
        <f t="shared" si="54"/>
        <v>604029.78506836668</v>
      </c>
      <c r="FZ25" s="650">
        <f t="shared" si="55"/>
        <v>932668.42801032262</v>
      </c>
      <c r="GA25" s="650">
        <f t="shared" ref="GA25:GA27" si="130">SUM(FT25:FZ25)</f>
        <v>6109720.8317216653</v>
      </c>
      <c r="GB25" s="747">
        <f t="shared" si="57"/>
        <v>6.2318210000000001</v>
      </c>
      <c r="GF25" s="551">
        <f t="shared" si="89"/>
        <v>22</v>
      </c>
      <c r="GG25" s="670">
        <f t="shared" si="58"/>
        <v>22</v>
      </c>
      <c r="GH25" s="660" t="s">
        <v>411</v>
      </c>
      <c r="GI25" s="724">
        <f t="shared" si="59"/>
        <v>2.2751600000000001</v>
      </c>
      <c r="GJ25" s="724">
        <f t="shared" si="60"/>
        <v>0.95355299999999998</v>
      </c>
      <c r="GK25" s="724">
        <f t="shared" si="61"/>
        <v>1.0085770000000001</v>
      </c>
      <c r="GL25" s="724">
        <f t="shared" si="62"/>
        <v>0.27112199999999997</v>
      </c>
      <c r="GM25" s="724">
        <f t="shared" si="63"/>
        <v>0.156001</v>
      </c>
      <c r="GN25" s="724">
        <f t="shared" si="64"/>
        <v>0.61610100000000001</v>
      </c>
      <c r="GO25" s="724">
        <f t="shared" si="65"/>
        <v>0.95130700000000001</v>
      </c>
      <c r="GP25" s="724">
        <f t="shared" si="66"/>
        <v>6.2318210000000001</v>
      </c>
      <c r="GQ25" s="661">
        <f t="shared" si="90"/>
        <v>98040705.901109368</v>
      </c>
      <c r="GR25" s="530"/>
      <c r="GU25" s="222">
        <f t="shared" si="91"/>
        <v>22</v>
      </c>
      <c r="GV25" s="670">
        <f t="shared" si="67"/>
        <v>22</v>
      </c>
      <c r="GW25" s="660" t="s">
        <v>411</v>
      </c>
      <c r="GX25" s="663" t="s">
        <v>379</v>
      </c>
      <c r="GY25" s="671">
        <f t="shared" si="68"/>
        <v>6109720.8317216653</v>
      </c>
      <c r="GZ25" s="661">
        <f t="shared" si="69"/>
        <v>98040705.901109368</v>
      </c>
      <c r="HA25" s="724">
        <f t="shared" si="92"/>
        <v>6.2318210000000001</v>
      </c>
      <c r="HB25" s="650">
        <f t="shared" si="70"/>
        <v>6109721.2988935737</v>
      </c>
      <c r="HC25" s="750">
        <f t="shared" si="71"/>
        <v>0.46717190835624933</v>
      </c>
      <c r="HD25" s="549"/>
      <c r="HG25" s="549"/>
      <c r="HH25" s="549"/>
      <c r="HI25" s="549"/>
      <c r="HJ25" s="549"/>
      <c r="HK25" s="549"/>
      <c r="HL25" s="549"/>
      <c r="HM25" s="549"/>
      <c r="HP25" s="551">
        <f t="shared" si="123"/>
        <v>22</v>
      </c>
      <c r="HQ25" s="762">
        <f t="shared" si="72"/>
        <v>22</v>
      </c>
      <c r="HR25" s="660" t="s">
        <v>411</v>
      </c>
      <c r="HS25" s="661">
        <f t="shared" si="93"/>
        <v>98040705.901109368</v>
      </c>
      <c r="HT25" s="757">
        <f t="shared" si="94"/>
        <v>6.2318210000000001</v>
      </c>
      <c r="HU25" s="757">
        <v>5.4577720000000003</v>
      </c>
      <c r="HV25" s="651">
        <f t="shared" si="95"/>
        <v>0.14182508906564806</v>
      </c>
      <c r="HW25" s="757">
        <f t="shared" si="96"/>
        <v>0.77404899999999977</v>
      </c>
      <c r="HX25" s="652">
        <v>10</v>
      </c>
      <c r="IO25" s="551">
        <v>22</v>
      </c>
      <c r="IP25" s="762">
        <v>22</v>
      </c>
      <c r="IQ25" s="660" t="s">
        <v>411</v>
      </c>
      <c r="IR25" s="772">
        <f t="shared" si="97"/>
        <v>6109720.8317216653</v>
      </c>
      <c r="IS25" s="773">
        <f t="shared" si="97"/>
        <v>98040705.901109368</v>
      </c>
      <c r="IT25" s="774">
        <f t="shared" si="97"/>
        <v>6.2318210000000001</v>
      </c>
      <c r="IU25" s="661">
        <f t="shared" si="98"/>
        <v>14310689.104107229</v>
      </c>
      <c r="IV25" s="661">
        <f t="shared" si="99"/>
        <v>83730016.797002137</v>
      </c>
      <c r="IW25" s="772">
        <f t="shared" si="100"/>
        <v>214660.33656160842</v>
      </c>
      <c r="IX25" s="772">
        <f t="shared" si="101"/>
        <v>5895060.4951600572</v>
      </c>
      <c r="IY25" s="455">
        <f t="shared" si="102"/>
        <v>6.0128703082842172</v>
      </c>
      <c r="IZ25" s="455">
        <f>IY25+1.5</f>
        <v>7.5128703082842172</v>
      </c>
      <c r="JA25" s="772">
        <f t="shared" si="104"/>
        <v>6109720.8317216663</v>
      </c>
      <c r="JB25" s="747">
        <f t="shared" si="105"/>
        <v>0.21895069171578285</v>
      </c>
      <c r="JF25" s="551">
        <f t="shared" si="124"/>
        <v>22</v>
      </c>
      <c r="JG25" s="762">
        <f t="shared" si="73"/>
        <v>22</v>
      </c>
      <c r="JH25" s="660" t="s">
        <v>411</v>
      </c>
      <c r="JI25" s="661">
        <f t="shared" si="106"/>
        <v>98040705.901109368</v>
      </c>
      <c r="JJ25" s="757">
        <f t="shared" si="107"/>
        <v>6.0128703082842172</v>
      </c>
      <c r="JK25" s="757">
        <v>5.2355386918523079</v>
      </c>
      <c r="JL25" s="651">
        <f t="shared" si="127"/>
        <v>0.14847213671472126</v>
      </c>
      <c r="JM25" s="757">
        <f t="shared" si="109"/>
        <v>0.77733161643190929</v>
      </c>
      <c r="JN25" s="652">
        <v>10</v>
      </c>
      <c r="JS25" s="757">
        <v>6.0364948878303935</v>
      </c>
      <c r="JT25" s="757">
        <f t="shared" si="110"/>
        <v>-2.362457954617625E-2</v>
      </c>
      <c r="JU25" s="1010">
        <v>95127152</v>
      </c>
      <c r="JV25" s="1010">
        <f t="shared" si="125"/>
        <v>-2913553.9011093676</v>
      </c>
      <c r="JW25" s="1069">
        <f t="shared" si="111"/>
        <v>-3.9136253712073093E-3</v>
      </c>
      <c r="JX25" s="997">
        <v>5742345.6674186476</v>
      </c>
      <c r="JY25" s="997">
        <f t="shared" si="112"/>
        <v>5895060.4951600572</v>
      </c>
      <c r="JZ25" s="516"/>
      <c r="KA25" s="516"/>
      <c r="KB25" s="516"/>
      <c r="KC25" s="516"/>
      <c r="KE25" s="516"/>
      <c r="KF25" s="516"/>
    </row>
    <row r="26" spans="2:292" ht="16.5" x14ac:dyDescent="0.3">
      <c r="I26" s="543">
        <v>23</v>
      </c>
      <c r="J26" s="654">
        <f t="shared" si="1"/>
        <v>23</v>
      </c>
      <c r="K26" s="655" t="s">
        <v>412</v>
      </c>
      <c r="L26" s="991">
        <v>594899.5428277076</v>
      </c>
      <c r="M26" s="657">
        <f t="shared" si="2"/>
        <v>2.7059824712100496E-4</v>
      </c>
      <c r="N26" s="656">
        <v>243</v>
      </c>
      <c r="O26" s="656">
        <f t="shared" si="75"/>
        <v>2448.1462667806895</v>
      </c>
      <c r="P26" s="657">
        <f t="shared" si="3"/>
        <v>1.3709021640573181E-3</v>
      </c>
      <c r="Q26" s="658" t="s">
        <v>379</v>
      </c>
      <c r="U26" s="545">
        <f t="shared" si="114"/>
        <v>23</v>
      </c>
      <c r="V26" s="669">
        <f t="shared" si="4"/>
        <v>23</v>
      </c>
      <c r="W26" s="655" t="s">
        <v>412</v>
      </c>
      <c r="X26" s="646">
        <f t="shared" si="76"/>
        <v>85982.18310586852</v>
      </c>
      <c r="Y26" s="657">
        <f t="shared" si="5"/>
        <v>8.8816529701453916E-4</v>
      </c>
      <c r="AC26" s="545">
        <f t="shared" si="115"/>
        <v>23</v>
      </c>
      <c r="AD26" s="678">
        <v>23</v>
      </c>
      <c r="AE26" s="679" t="s">
        <v>412</v>
      </c>
      <c r="AF26" s="680">
        <v>10.01</v>
      </c>
      <c r="AP26" s="545">
        <f t="shared" si="78"/>
        <v>23</v>
      </c>
      <c r="AQ26" s="693">
        <f t="shared" si="6"/>
        <v>23</v>
      </c>
      <c r="AR26" s="655" t="s">
        <v>412</v>
      </c>
      <c r="AS26" s="655">
        <f t="shared" si="7"/>
        <v>10.01</v>
      </c>
      <c r="AT26" s="694">
        <f t="shared" si="79"/>
        <v>594899.5428277076</v>
      </c>
      <c r="AU26" s="694">
        <f t="shared" si="116"/>
        <v>1654.1512288070426</v>
      </c>
      <c r="AV26" s="695">
        <f t="shared" si="8"/>
        <v>1705.0560650379009</v>
      </c>
      <c r="AW26" s="696">
        <f t="shared" si="9"/>
        <v>21.592508896755891</v>
      </c>
      <c r="AX26" s="646">
        <f t="shared" si="126"/>
        <v>36816.438253798464</v>
      </c>
      <c r="AY26" s="544">
        <f t="shared" si="80"/>
        <v>8.7349483156625145E-4</v>
      </c>
      <c r="AZ26" s="548">
        <f t="shared" si="10"/>
        <v>6.188682</v>
      </c>
      <c r="BK26" s="543">
        <f t="shared" si="117"/>
        <v>23</v>
      </c>
      <c r="BL26" s="658">
        <f t="shared" si="11"/>
        <v>23</v>
      </c>
      <c r="BM26" s="655" t="s">
        <v>412</v>
      </c>
      <c r="BN26" s="657">
        <f t="shared" si="81"/>
        <v>8.7349483156625145E-4</v>
      </c>
      <c r="BO26" s="646">
        <f t="shared" si="82"/>
        <v>8373.9441594906912</v>
      </c>
      <c r="BP26" s="657">
        <f t="shared" si="83"/>
        <v>2.7059824712100496E-4</v>
      </c>
      <c r="BQ26" s="646">
        <f t="shared" si="84"/>
        <v>2594.1477031801901</v>
      </c>
      <c r="BR26" s="708">
        <f t="shared" si="12"/>
        <v>10968.091862670881</v>
      </c>
      <c r="BS26" s="709">
        <f t="shared" si="13"/>
        <v>1.843688</v>
      </c>
      <c r="BV26" s="15"/>
      <c r="BW26" s="190"/>
      <c r="BX26" s="190"/>
      <c r="BY26" s="190"/>
      <c r="BZ26" s="190"/>
      <c r="CA26" s="190"/>
      <c r="CB26" s="190"/>
      <c r="CC26" s="190"/>
      <c r="CD26" s="190"/>
      <c r="CH26" s="543">
        <f t="shared" si="118"/>
        <v>23</v>
      </c>
      <c r="CI26" s="678">
        <f t="shared" si="15"/>
        <v>23</v>
      </c>
      <c r="CJ26" s="655" t="s">
        <v>412</v>
      </c>
      <c r="CK26" s="657">
        <f t="shared" si="16"/>
        <v>2.7059824712100496E-4</v>
      </c>
      <c r="CL26" s="646">
        <f t="shared" si="17"/>
        <v>1586.1762381058982</v>
      </c>
      <c r="CM26" s="657">
        <f t="shared" si="18"/>
        <v>1.3709021640573181E-3</v>
      </c>
      <c r="CN26" s="646">
        <f t="shared" si="19"/>
        <v>26337.742150237013</v>
      </c>
      <c r="CO26" s="646">
        <f t="shared" si="20"/>
        <v>27923.91838834291</v>
      </c>
      <c r="CP26" s="657">
        <f t="shared" si="21"/>
        <v>1.1136728826548845E-3</v>
      </c>
      <c r="CQ26" s="709">
        <f t="shared" si="22"/>
        <v>4.6938880000000003</v>
      </c>
      <c r="DD26" s="15"/>
      <c r="DG26" s="545">
        <f t="shared" si="119"/>
        <v>23</v>
      </c>
      <c r="DH26" s="739">
        <f t="shared" si="24"/>
        <v>23</v>
      </c>
      <c r="DI26" s="655" t="s">
        <v>412</v>
      </c>
      <c r="DJ26" s="657">
        <f t="shared" si="25"/>
        <v>1.1136728826548845E-3</v>
      </c>
      <c r="DK26" s="646">
        <f t="shared" si="85"/>
        <v>419.51471093672529</v>
      </c>
      <c r="DL26" s="657">
        <f t="shared" si="26"/>
        <v>1.3709021640573181E-3</v>
      </c>
      <c r="DM26" s="646">
        <f t="shared" si="27"/>
        <v>3356.1542676682857</v>
      </c>
      <c r="DN26" s="657">
        <f t="shared" si="28"/>
        <v>2.7059824712100496E-4</v>
      </c>
      <c r="DO26" s="646">
        <f t="shared" si="29"/>
        <v>960.31638134095761</v>
      </c>
      <c r="DP26" s="646">
        <f t="shared" si="86"/>
        <v>4735.9853599459684</v>
      </c>
      <c r="DQ26" s="657">
        <f t="shared" si="30"/>
        <v>7.4305185793681751E-4</v>
      </c>
      <c r="DR26" s="709">
        <f t="shared" si="31"/>
        <v>0.79609799999999997</v>
      </c>
      <c r="DV26" s="545">
        <f t="shared" si="120"/>
        <v>23</v>
      </c>
      <c r="DW26" s="739">
        <f t="shared" si="32"/>
        <v>23</v>
      </c>
      <c r="DX26" s="655" t="s">
        <v>412</v>
      </c>
      <c r="DY26" s="657">
        <f t="shared" si="33"/>
        <v>1.3709021640573181E-3</v>
      </c>
      <c r="DZ26" s="646">
        <f t="shared" si="34"/>
        <v>5537.7492411102858</v>
      </c>
      <c r="EA26" s="709">
        <f t="shared" si="35"/>
        <v>0.930871</v>
      </c>
      <c r="EM26" s="545">
        <f t="shared" si="121"/>
        <v>23</v>
      </c>
      <c r="EN26" s="739">
        <f t="shared" si="36"/>
        <v>23</v>
      </c>
      <c r="EO26" s="655" t="s">
        <v>412</v>
      </c>
      <c r="EP26" s="657">
        <f t="shared" si="37"/>
        <v>8.8816529701453916E-4</v>
      </c>
      <c r="EQ26" s="646">
        <f t="shared" si="38"/>
        <v>6994.8013087336094</v>
      </c>
      <c r="ER26" s="657">
        <f t="shared" si="39"/>
        <v>1.1136728826548845E-3</v>
      </c>
      <c r="ES26" s="646">
        <f t="shared" si="40"/>
        <v>1132.1634159524731</v>
      </c>
      <c r="ET26" s="657">
        <f t="shared" si="41"/>
        <v>2.7059824712100496E-4</v>
      </c>
      <c r="EU26" s="646">
        <f t="shared" si="42"/>
        <v>1164.5193841795949</v>
      </c>
      <c r="EV26" s="646">
        <f t="shared" si="43"/>
        <v>9291.4841088656776</v>
      </c>
      <c r="EW26" s="657">
        <f t="shared" si="44"/>
        <v>7.041315510154855E-4</v>
      </c>
      <c r="EX26" s="709">
        <f t="shared" si="45"/>
        <v>1.561858</v>
      </c>
      <c r="FH26" s="545">
        <f t="shared" si="122"/>
        <v>23</v>
      </c>
      <c r="FI26" s="669">
        <f t="shared" si="46"/>
        <v>23</v>
      </c>
      <c r="FJ26" s="655" t="s">
        <v>412</v>
      </c>
      <c r="FK26" s="657">
        <f t="shared" si="47"/>
        <v>8.8816529701453916E-4</v>
      </c>
      <c r="FL26" s="646">
        <f>Y26*$FL$28</f>
        <v>17536.074986229345</v>
      </c>
      <c r="FM26" s="709">
        <f t="shared" si="49"/>
        <v>2.9477370000000001</v>
      </c>
      <c r="FQ26" s="543">
        <v>23</v>
      </c>
      <c r="FR26" s="669">
        <v>23</v>
      </c>
      <c r="FS26" s="655" t="s">
        <v>412</v>
      </c>
      <c r="FT26" s="646">
        <f t="shared" si="50"/>
        <v>36816.438253798464</v>
      </c>
      <c r="FU26" s="646">
        <f t="shared" si="51"/>
        <v>10968.091862670881</v>
      </c>
      <c r="FV26" s="646">
        <f t="shared" si="52"/>
        <v>27923.91838834291</v>
      </c>
      <c r="FW26" s="646">
        <f t="shared" si="88"/>
        <v>4735.9853599459684</v>
      </c>
      <c r="FX26" s="646">
        <f t="shared" si="53"/>
        <v>5537.7492411102858</v>
      </c>
      <c r="FY26" s="646">
        <f t="shared" si="54"/>
        <v>9291.4841088656776</v>
      </c>
      <c r="FZ26" s="646">
        <f t="shared" si="55"/>
        <v>17536.074986229345</v>
      </c>
      <c r="GA26" s="646">
        <f t="shared" si="130"/>
        <v>112809.74220096355</v>
      </c>
      <c r="GB26" s="746">
        <f t="shared" si="57"/>
        <v>18.962821999999999</v>
      </c>
      <c r="GF26" s="545">
        <f t="shared" si="89"/>
        <v>23</v>
      </c>
      <c r="GG26" s="669">
        <f t="shared" si="58"/>
        <v>23</v>
      </c>
      <c r="GH26" s="655" t="s">
        <v>412</v>
      </c>
      <c r="GI26" s="709">
        <f t="shared" si="59"/>
        <v>6.188682</v>
      </c>
      <c r="GJ26" s="709">
        <f t="shared" si="60"/>
        <v>1.843688</v>
      </c>
      <c r="GK26" s="709">
        <f t="shared" si="61"/>
        <v>4.6938880000000003</v>
      </c>
      <c r="GL26" s="709">
        <f t="shared" si="62"/>
        <v>0.79609799999999997</v>
      </c>
      <c r="GM26" s="709">
        <f t="shared" si="63"/>
        <v>0.930871</v>
      </c>
      <c r="GN26" s="709">
        <f t="shared" si="64"/>
        <v>1.561858</v>
      </c>
      <c r="GO26" s="709">
        <f t="shared" si="65"/>
        <v>2.9477370000000001</v>
      </c>
      <c r="GP26" s="709">
        <f t="shared" si="66"/>
        <v>18.962821999999999</v>
      </c>
      <c r="GQ26" s="656">
        <f t="shared" si="90"/>
        <v>594899.5428277076</v>
      </c>
      <c r="GR26" s="530"/>
      <c r="GU26" s="543">
        <f t="shared" si="91"/>
        <v>23</v>
      </c>
      <c r="GV26" s="669">
        <f t="shared" si="67"/>
        <v>23</v>
      </c>
      <c r="GW26" s="655" t="s">
        <v>412</v>
      </c>
      <c r="GX26" s="658" t="s">
        <v>379</v>
      </c>
      <c r="GY26" s="646">
        <f t="shared" si="68"/>
        <v>112809.74220096355</v>
      </c>
      <c r="GZ26" s="656">
        <f t="shared" si="69"/>
        <v>594899.5428277076</v>
      </c>
      <c r="HA26" s="709">
        <f t="shared" si="92"/>
        <v>18.962821999999999</v>
      </c>
      <c r="HB26" s="646">
        <f t="shared" si="70"/>
        <v>112809.74138523194</v>
      </c>
      <c r="HC26" s="749">
        <f t="shared" si="71"/>
        <v>-8.1573160423431545E-4</v>
      </c>
      <c r="HD26" s="549"/>
      <c r="HG26" s="549"/>
      <c r="HH26" s="549"/>
      <c r="HI26" s="549"/>
      <c r="HJ26" s="549"/>
      <c r="HK26" s="549"/>
      <c r="HL26" s="549"/>
      <c r="HM26" s="549"/>
      <c r="HP26" s="545">
        <f t="shared" si="123"/>
        <v>23</v>
      </c>
      <c r="HQ26" s="761">
        <f t="shared" si="72"/>
        <v>23</v>
      </c>
      <c r="HR26" s="655" t="s">
        <v>412</v>
      </c>
      <c r="HS26" s="656">
        <f t="shared" si="93"/>
        <v>594899.5428277076</v>
      </c>
      <c r="HT26" s="756">
        <f t="shared" si="94"/>
        <v>18.962821999999999</v>
      </c>
      <c r="HU26" s="756">
        <v>16.893163000000001</v>
      </c>
      <c r="HV26" s="647">
        <f t="shared" si="95"/>
        <v>0.12251459362583539</v>
      </c>
      <c r="HW26" s="756">
        <f t="shared" si="96"/>
        <v>2.0696589999999979</v>
      </c>
      <c r="HX26" s="648">
        <v>25</v>
      </c>
      <c r="IO26" s="545">
        <v>23</v>
      </c>
      <c r="IP26" s="761">
        <v>23</v>
      </c>
      <c r="IQ26" s="655" t="s">
        <v>412</v>
      </c>
      <c r="IR26" s="769">
        <f t="shared" si="97"/>
        <v>112809.74220096355</v>
      </c>
      <c r="IS26" s="770">
        <f t="shared" si="97"/>
        <v>594899.5428277076</v>
      </c>
      <c r="IT26" s="771">
        <f t="shared" si="97"/>
        <v>18.962821999999999</v>
      </c>
      <c r="IU26" s="656">
        <f t="shared" si="98"/>
        <v>86835.588619385017</v>
      </c>
      <c r="IV26" s="656">
        <f t="shared" si="99"/>
        <v>508063.95420832257</v>
      </c>
      <c r="IW26" s="769">
        <f t="shared" si="100"/>
        <v>1302.5338292907752</v>
      </c>
      <c r="IX26" s="769">
        <f t="shared" si="101"/>
        <v>111507.20837167278</v>
      </c>
      <c r="IY26" s="550">
        <f>IX26/IS26*100</f>
        <v>18.743871921913215</v>
      </c>
      <c r="IZ26" s="550">
        <f t="shared" si="103"/>
        <v>20.243871921913215</v>
      </c>
      <c r="JA26" s="769">
        <f t="shared" si="104"/>
        <v>112809.74220096353</v>
      </c>
      <c r="JB26" s="746">
        <f t="shared" si="105"/>
        <v>0.21895007808678457</v>
      </c>
      <c r="JF26" s="545">
        <f t="shared" si="124"/>
        <v>23</v>
      </c>
      <c r="JG26" s="761">
        <f t="shared" si="73"/>
        <v>23</v>
      </c>
      <c r="JH26" s="655" t="s">
        <v>412</v>
      </c>
      <c r="JI26" s="656">
        <f t="shared" si="106"/>
        <v>594899.5428277076</v>
      </c>
      <c r="JJ26" s="756">
        <f t="shared" si="107"/>
        <v>18.743871921913215</v>
      </c>
      <c r="JK26" s="756">
        <v>16.670930182281545</v>
      </c>
      <c r="JL26" s="647">
        <f t="shared" si="127"/>
        <v>0.12434469564480977</v>
      </c>
      <c r="JM26" s="756">
        <f t="shared" si="109"/>
        <v>2.0729417396316698</v>
      </c>
      <c r="JN26" s="648">
        <v>25</v>
      </c>
      <c r="JS26" s="756">
        <v>18.824630250058792</v>
      </c>
      <c r="JT26" s="756">
        <f t="shared" si="110"/>
        <v>-8.0758328145577707E-2</v>
      </c>
      <c r="JU26" s="1009">
        <v>554610</v>
      </c>
      <c r="JV26" s="1009">
        <f t="shared" si="125"/>
        <v>-40289.542827707599</v>
      </c>
      <c r="JW26" s="1069">
        <f t="shared" si="111"/>
        <v>-4.2900352927423627E-3</v>
      </c>
      <c r="JX26" s="997">
        <v>104403.28182985107</v>
      </c>
      <c r="JY26" s="997">
        <f t="shared" si="112"/>
        <v>111507.20837167276</v>
      </c>
      <c r="JZ26" s="516"/>
      <c r="KA26" s="516"/>
      <c r="KB26" s="516"/>
      <c r="KC26" s="516"/>
      <c r="KE26" s="516"/>
      <c r="KF26" s="516"/>
    </row>
    <row r="27" spans="2:292" ht="17.25" thickBot="1" x14ac:dyDescent="0.35">
      <c r="I27" s="297">
        <v>24</v>
      </c>
      <c r="J27" s="664">
        <f t="shared" si="1"/>
        <v>24</v>
      </c>
      <c r="K27" s="665" t="s">
        <v>413</v>
      </c>
      <c r="L27" s="992">
        <v>0</v>
      </c>
      <c r="M27" s="667">
        <f t="shared" si="2"/>
        <v>0</v>
      </c>
      <c r="N27" s="666">
        <v>546</v>
      </c>
      <c r="O27" s="666">
        <f t="shared" si="75"/>
        <v>0</v>
      </c>
      <c r="P27" s="667">
        <f t="shared" si="3"/>
        <v>0</v>
      </c>
      <c r="Q27" s="668" t="s">
        <v>384</v>
      </c>
      <c r="U27" s="580">
        <f t="shared" si="114"/>
        <v>24</v>
      </c>
      <c r="V27" s="672">
        <f t="shared" si="4"/>
        <v>24</v>
      </c>
      <c r="W27" s="665" t="s">
        <v>413</v>
      </c>
      <c r="X27" s="673">
        <f t="shared" si="76"/>
        <v>0</v>
      </c>
      <c r="Y27" s="667">
        <f t="shared" si="5"/>
        <v>0</v>
      </c>
      <c r="AC27" s="570">
        <f t="shared" si="115"/>
        <v>24</v>
      </c>
      <c r="AD27" s="684">
        <v>24</v>
      </c>
      <c r="AE27" s="685" t="s">
        <v>413</v>
      </c>
      <c r="AF27" s="686">
        <v>5.4</v>
      </c>
      <c r="AP27" s="580">
        <f t="shared" si="78"/>
        <v>24</v>
      </c>
      <c r="AQ27" s="701">
        <f t="shared" si="6"/>
        <v>24</v>
      </c>
      <c r="AR27" s="665" t="s">
        <v>413</v>
      </c>
      <c r="AS27" s="665">
        <f t="shared" si="7"/>
        <v>5.4</v>
      </c>
      <c r="AT27" s="702">
        <f t="shared" si="79"/>
        <v>0</v>
      </c>
      <c r="AU27" s="702">
        <f t="shared" si="116"/>
        <v>0</v>
      </c>
      <c r="AV27" s="703">
        <f t="shared" si="8"/>
        <v>0</v>
      </c>
      <c r="AW27" s="704">
        <f t="shared" si="9"/>
        <v>21.592508896755891</v>
      </c>
      <c r="AX27" s="673">
        <f t="shared" si="126"/>
        <v>0</v>
      </c>
      <c r="AY27" s="554">
        <f t="shared" si="80"/>
        <v>0</v>
      </c>
      <c r="AZ27" s="581">
        <f t="shared" si="10"/>
        <v>0</v>
      </c>
      <c r="BD27" s="15"/>
      <c r="BE27" s="15"/>
      <c r="BF27" s="15"/>
      <c r="BG27" s="15"/>
      <c r="BK27" s="297">
        <f t="shared" si="117"/>
        <v>24</v>
      </c>
      <c r="BL27" s="668">
        <f t="shared" si="11"/>
        <v>24</v>
      </c>
      <c r="BM27" s="665" t="s">
        <v>413</v>
      </c>
      <c r="BN27" s="667">
        <f t="shared" si="81"/>
        <v>0</v>
      </c>
      <c r="BO27" s="673">
        <f t="shared" si="82"/>
        <v>0</v>
      </c>
      <c r="BP27" s="667">
        <f t="shared" si="83"/>
        <v>0</v>
      </c>
      <c r="BQ27" s="673">
        <f t="shared" si="84"/>
        <v>0</v>
      </c>
      <c r="BR27" s="712">
        <f t="shared" si="12"/>
        <v>0</v>
      </c>
      <c r="BS27" s="713">
        <f t="shared" si="13"/>
        <v>0</v>
      </c>
      <c r="BV27" s="15"/>
      <c r="BW27" s="190"/>
      <c r="BX27" s="190"/>
      <c r="BY27" s="190"/>
      <c r="BZ27" s="190"/>
      <c r="CA27" s="190"/>
      <c r="CB27" s="190"/>
      <c r="CC27" s="190"/>
      <c r="CD27" s="190"/>
      <c r="CH27" s="297">
        <f t="shared" si="118"/>
        <v>24</v>
      </c>
      <c r="CI27" s="725">
        <f t="shared" si="15"/>
        <v>24</v>
      </c>
      <c r="CJ27" s="665" t="s">
        <v>413</v>
      </c>
      <c r="CK27" s="726">
        <f t="shared" si="16"/>
        <v>0</v>
      </c>
      <c r="CL27" s="727">
        <f t="shared" si="17"/>
        <v>0</v>
      </c>
      <c r="CM27" s="726">
        <f t="shared" si="18"/>
        <v>0</v>
      </c>
      <c r="CN27" s="727">
        <f t="shared" si="19"/>
        <v>0</v>
      </c>
      <c r="CO27" s="727">
        <f t="shared" si="20"/>
        <v>0</v>
      </c>
      <c r="CP27" s="726">
        <f t="shared" si="21"/>
        <v>0</v>
      </c>
      <c r="CQ27" s="728">
        <f t="shared" si="22"/>
        <v>0</v>
      </c>
      <c r="DD27" s="15"/>
      <c r="DG27" s="580">
        <f t="shared" si="119"/>
        <v>24</v>
      </c>
      <c r="DH27" s="740">
        <f t="shared" si="24"/>
        <v>24</v>
      </c>
      <c r="DI27" s="665" t="s">
        <v>413</v>
      </c>
      <c r="DJ27" s="726">
        <f t="shared" si="25"/>
        <v>0</v>
      </c>
      <c r="DK27" s="727">
        <f t="shared" si="85"/>
        <v>0</v>
      </c>
      <c r="DL27" s="726">
        <f t="shared" si="26"/>
        <v>0</v>
      </c>
      <c r="DM27" s="727">
        <f t="shared" si="27"/>
        <v>0</v>
      </c>
      <c r="DN27" s="726">
        <f t="shared" si="28"/>
        <v>0</v>
      </c>
      <c r="DO27" s="727">
        <f t="shared" si="29"/>
        <v>0</v>
      </c>
      <c r="DP27" s="727">
        <f t="shared" si="86"/>
        <v>0</v>
      </c>
      <c r="DQ27" s="726">
        <f t="shared" si="30"/>
        <v>0</v>
      </c>
      <c r="DR27" s="728">
        <f t="shared" si="31"/>
        <v>0</v>
      </c>
      <c r="DV27" s="580">
        <f t="shared" si="120"/>
        <v>24</v>
      </c>
      <c r="DW27" s="740">
        <f t="shared" si="32"/>
        <v>24</v>
      </c>
      <c r="DX27" s="665" t="s">
        <v>413</v>
      </c>
      <c r="DY27" s="726">
        <f t="shared" si="33"/>
        <v>0</v>
      </c>
      <c r="DZ27" s="727">
        <f t="shared" si="34"/>
        <v>0</v>
      </c>
      <c r="EA27" s="728">
        <f t="shared" si="35"/>
        <v>0</v>
      </c>
      <c r="EM27" s="580">
        <f t="shared" si="121"/>
        <v>24</v>
      </c>
      <c r="EN27" s="740">
        <f t="shared" si="36"/>
        <v>24</v>
      </c>
      <c r="EO27" s="665" t="s">
        <v>413</v>
      </c>
      <c r="EP27" s="726">
        <f t="shared" si="37"/>
        <v>0</v>
      </c>
      <c r="EQ27" s="727">
        <f t="shared" si="38"/>
        <v>0</v>
      </c>
      <c r="ER27" s="726">
        <f t="shared" si="39"/>
        <v>0</v>
      </c>
      <c r="ES27" s="727">
        <f t="shared" si="40"/>
        <v>0</v>
      </c>
      <c r="ET27" s="726">
        <f t="shared" si="41"/>
        <v>0</v>
      </c>
      <c r="EU27" s="727">
        <f t="shared" si="42"/>
        <v>0</v>
      </c>
      <c r="EV27" s="727">
        <f t="shared" si="43"/>
        <v>0</v>
      </c>
      <c r="EW27" s="726">
        <f t="shared" si="44"/>
        <v>0</v>
      </c>
      <c r="EX27" s="728">
        <f t="shared" si="45"/>
        <v>0</v>
      </c>
      <c r="FH27" s="580">
        <f t="shared" si="122"/>
        <v>24</v>
      </c>
      <c r="FI27" s="672">
        <f t="shared" si="46"/>
        <v>24</v>
      </c>
      <c r="FJ27" s="665" t="s">
        <v>413</v>
      </c>
      <c r="FK27" s="726">
        <f t="shared" si="47"/>
        <v>0</v>
      </c>
      <c r="FL27" s="727">
        <f t="shared" si="48"/>
        <v>0</v>
      </c>
      <c r="FM27" s="728">
        <f t="shared" si="49"/>
        <v>0</v>
      </c>
      <c r="FQ27" s="297">
        <v>24</v>
      </c>
      <c r="FR27" s="672">
        <v>24</v>
      </c>
      <c r="FS27" s="665" t="s">
        <v>413</v>
      </c>
      <c r="FT27" s="727">
        <f t="shared" si="50"/>
        <v>0</v>
      </c>
      <c r="FU27" s="727">
        <f t="shared" si="51"/>
        <v>0</v>
      </c>
      <c r="FV27" s="727">
        <f t="shared" si="52"/>
        <v>0</v>
      </c>
      <c r="FW27" s="727">
        <f t="shared" si="88"/>
        <v>0</v>
      </c>
      <c r="FX27" s="727">
        <f t="shared" si="53"/>
        <v>0</v>
      </c>
      <c r="FY27" s="727">
        <f t="shared" si="54"/>
        <v>0</v>
      </c>
      <c r="FZ27" s="727">
        <f t="shared" si="55"/>
        <v>0</v>
      </c>
      <c r="GA27" s="727">
        <f t="shared" si="130"/>
        <v>0</v>
      </c>
      <c r="GB27" s="748">
        <f t="shared" si="57"/>
        <v>0</v>
      </c>
      <c r="GF27" s="580">
        <f t="shared" si="89"/>
        <v>24</v>
      </c>
      <c r="GG27" s="672">
        <f t="shared" si="58"/>
        <v>24</v>
      </c>
      <c r="GH27" s="665" t="s">
        <v>413</v>
      </c>
      <c r="GI27" s="728">
        <f t="shared" si="59"/>
        <v>0</v>
      </c>
      <c r="GJ27" s="728">
        <f t="shared" si="60"/>
        <v>0</v>
      </c>
      <c r="GK27" s="728">
        <f t="shared" si="61"/>
        <v>0</v>
      </c>
      <c r="GL27" s="728">
        <f t="shared" si="62"/>
        <v>0</v>
      </c>
      <c r="GM27" s="728">
        <f t="shared" si="63"/>
        <v>0</v>
      </c>
      <c r="GN27" s="728">
        <f t="shared" si="64"/>
        <v>0</v>
      </c>
      <c r="GO27" s="728">
        <f t="shared" si="65"/>
        <v>0</v>
      </c>
      <c r="GP27" s="728">
        <f t="shared" si="66"/>
        <v>0</v>
      </c>
      <c r="GQ27" s="666">
        <f t="shared" si="90"/>
        <v>0</v>
      </c>
      <c r="GR27" s="530"/>
      <c r="GU27" s="297">
        <f t="shared" si="91"/>
        <v>24</v>
      </c>
      <c r="GV27" s="672">
        <f t="shared" si="67"/>
        <v>24</v>
      </c>
      <c r="GW27" s="665" t="s">
        <v>413</v>
      </c>
      <c r="GX27" s="668" t="s">
        <v>384</v>
      </c>
      <c r="GY27" s="673">
        <f t="shared" si="68"/>
        <v>0</v>
      </c>
      <c r="GZ27" s="666">
        <f t="shared" si="69"/>
        <v>0</v>
      </c>
      <c r="HA27" s="728">
        <f t="shared" si="92"/>
        <v>0</v>
      </c>
      <c r="HB27" s="727">
        <f t="shared" si="70"/>
        <v>0</v>
      </c>
      <c r="HC27" s="751">
        <f t="shared" si="71"/>
        <v>0</v>
      </c>
      <c r="HD27" s="549"/>
      <c r="HG27" s="549"/>
      <c r="HH27" s="549"/>
      <c r="HI27" s="549"/>
      <c r="HJ27" s="549"/>
      <c r="HK27" s="549"/>
      <c r="HL27" s="549"/>
      <c r="HM27" s="549"/>
      <c r="HP27" s="580">
        <f t="shared" si="123"/>
        <v>24</v>
      </c>
      <c r="HQ27" s="763">
        <f t="shared" si="72"/>
        <v>24</v>
      </c>
      <c r="HR27" s="665" t="s">
        <v>413</v>
      </c>
      <c r="HS27" s="666">
        <f t="shared" si="93"/>
        <v>0</v>
      </c>
      <c r="HT27" s="758">
        <f t="shared" si="94"/>
        <v>0</v>
      </c>
      <c r="HU27" s="758">
        <v>8.7916229999999995</v>
      </c>
      <c r="HV27" s="759">
        <f t="shared" si="95"/>
        <v>-1</v>
      </c>
      <c r="HW27" s="758">
        <f t="shared" si="96"/>
        <v>-8.7916229999999995</v>
      </c>
      <c r="HX27" s="760">
        <v>10</v>
      </c>
      <c r="IO27" s="580">
        <v>24</v>
      </c>
      <c r="IP27" s="763">
        <v>24</v>
      </c>
      <c r="IQ27" s="665" t="s">
        <v>413</v>
      </c>
      <c r="IR27" s="775">
        <f t="shared" si="97"/>
        <v>0</v>
      </c>
      <c r="IS27" s="776">
        <f t="shared" si="97"/>
        <v>0</v>
      </c>
      <c r="IT27" s="777">
        <f t="shared" si="97"/>
        <v>0</v>
      </c>
      <c r="IU27" s="992">
        <v>0</v>
      </c>
      <c r="IV27" s="666">
        <f t="shared" si="99"/>
        <v>0</v>
      </c>
      <c r="IW27" s="775">
        <f t="shared" si="100"/>
        <v>0</v>
      </c>
      <c r="IX27" s="775">
        <f t="shared" si="101"/>
        <v>0</v>
      </c>
      <c r="IY27" s="582">
        <f>IT27</f>
        <v>0</v>
      </c>
      <c r="IZ27" s="583">
        <f>IY27</f>
        <v>0</v>
      </c>
      <c r="JA27" s="775">
        <f t="shared" si="104"/>
        <v>0</v>
      </c>
      <c r="JB27" s="779">
        <f t="shared" si="105"/>
        <v>0</v>
      </c>
      <c r="JF27" s="551">
        <f t="shared" si="124"/>
        <v>24</v>
      </c>
      <c r="JG27" s="762">
        <f t="shared" si="73"/>
        <v>24</v>
      </c>
      <c r="JH27" s="660" t="s">
        <v>413</v>
      </c>
      <c r="JI27" s="661">
        <f t="shared" si="106"/>
        <v>0</v>
      </c>
      <c r="JJ27" s="757">
        <f t="shared" si="107"/>
        <v>0</v>
      </c>
      <c r="JK27" s="757">
        <v>8.7916229999999995</v>
      </c>
      <c r="JL27" s="651">
        <f t="shared" si="127"/>
        <v>-1</v>
      </c>
      <c r="JM27" s="757">
        <f t="shared" si="109"/>
        <v>-8.7916229999999995</v>
      </c>
      <c r="JN27" s="652">
        <v>10</v>
      </c>
      <c r="JS27" s="757">
        <v>0</v>
      </c>
      <c r="JT27" s="757">
        <f t="shared" si="110"/>
        <v>0</v>
      </c>
      <c r="JU27" s="1010">
        <v>0</v>
      </c>
      <c r="JV27" s="1010">
        <f t="shared" si="125"/>
        <v>0</v>
      </c>
      <c r="JW27" s="1069"/>
      <c r="JX27" s="997">
        <v>0</v>
      </c>
      <c r="JY27" s="997">
        <f t="shared" si="112"/>
        <v>0</v>
      </c>
      <c r="JZ27" s="516"/>
      <c r="KA27" s="516"/>
      <c r="KB27" s="516"/>
      <c r="KC27" s="516"/>
      <c r="KE27" s="516"/>
      <c r="KF27" s="516"/>
    </row>
    <row r="28" spans="2:292" ht="17.25" thickBot="1" x14ac:dyDescent="0.35">
      <c r="F28" s="15"/>
      <c r="G28" s="584"/>
      <c r="H28" s="15"/>
      <c r="I28" s="585">
        <v>25</v>
      </c>
      <c r="J28" s="586"/>
      <c r="K28" s="566" t="s">
        <v>71</v>
      </c>
      <c r="L28" s="1007">
        <f>SUM(L4:L27)</f>
        <v>2198460445.1694136</v>
      </c>
      <c r="M28" s="784">
        <f>SUM(M4:M27)</f>
        <v>0.99999999999999989</v>
      </c>
      <c r="N28" s="587">
        <f>SUM(N4:N27)</f>
        <v>17767</v>
      </c>
      <c r="O28" s="587">
        <f>SUM(O4:O27)</f>
        <v>1785792.1089971606</v>
      </c>
      <c r="P28" s="784">
        <f>SUM(P4:P27)</f>
        <v>1</v>
      </c>
      <c r="Q28" s="588"/>
      <c r="R28" s="15"/>
      <c r="S28" s="584"/>
      <c r="T28" s="15"/>
      <c r="U28" s="585">
        <f>+U27+1</f>
        <v>25</v>
      </c>
      <c r="V28" s="674"/>
      <c r="W28" s="675" t="s">
        <v>71</v>
      </c>
      <c r="X28" s="785">
        <f>SUM(X4:X27)</f>
        <v>96808762.282074392</v>
      </c>
      <c r="Y28" s="784">
        <f>SUM(Y4:Y27)</f>
        <v>0.99999999999999989</v>
      </c>
      <c r="Z28" s="15"/>
      <c r="AA28" s="584"/>
      <c r="AB28" s="15"/>
      <c r="AG28" s="15"/>
      <c r="AH28" s="584"/>
      <c r="AI28" s="15"/>
      <c r="AJ28" s="15"/>
      <c r="AK28" s="15"/>
      <c r="AL28" s="15"/>
      <c r="AP28" s="585">
        <f>+AP27+1</f>
        <v>25</v>
      </c>
      <c r="AQ28" s="590"/>
      <c r="AR28" s="591" t="s">
        <v>71</v>
      </c>
      <c r="AS28" s="592">
        <f>AL7</f>
        <v>3.1009782265389583</v>
      </c>
      <c r="AT28" s="587">
        <f>SUM(AT4:AT27)</f>
        <v>2198460445.1694136</v>
      </c>
      <c r="AU28" s="587">
        <f>SUM(AU4:AU27)</f>
        <v>1893716.1034381934</v>
      </c>
      <c r="AV28" s="587">
        <f>SUM(AV4:AV27)</f>
        <v>1951993.30713908</v>
      </c>
      <c r="AW28" s="593">
        <f>SUMPRODUCT(AW4:AW27,AT4:AT27)/AT28</f>
        <v>21.592508896755895</v>
      </c>
      <c r="AX28" s="594">
        <f>SUM(AX4:AX27)</f>
        <v>42148432.850808538</v>
      </c>
      <c r="AY28" s="595">
        <f t="shared" si="80"/>
        <v>1</v>
      </c>
      <c r="AZ28" s="596">
        <f>AX28*100/$L$28</f>
        <v>1.9171794945603662</v>
      </c>
      <c r="BA28" s="15"/>
      <c r="BB28" s="584"/>
      <c r="BC28" s="15"/>
      <c r="BD28" s="530"/>
      <c r="BE28" s="530"/>
      <c r="BF28" s="530"/>
      <c r="BG28" s="530"/>
      <c r="BH28" s="15"/>
      <c r="BI28" s="584"/>
      <c r="BJ28" s="15"/>
      <c r="BK28" s="562">
        <f>+BK27+1</f>
        <v>25</v>
      </c>
      <c r="BL28" s="597"/>
      <c r="BM28" s="598" t="s">
        <v>71</v>
      </c>
      <c r="BN28" s="599">
        <f>SUM(BN4:BN27)</f>
        <v>1</v>
      </c>
      <c r="BO28" s="564">
        <f>BG4</f>
        <v>9586712.8881295025</v>
      </c>
      <c r="BP28" s="599">
        <f>SUM(BP4:BP27)</f>
        <v>0.99999999999999989</v>
      </c>
      <c r="BQ28" s="564">
        <f>BG5</f>
        <v>9586712.8881295025</v>
      </c>
      <c r="BR28" s="600">
        <f>C6</f>
        <v>19173425.776259005</v>
      </c>
      <c r="BS28" s="601">
        <f>BR28*100/$L$28</f>
        <v>0.87212966775854361</v>
      </c>
      <c r="BT28" s="15"/>
      <c r="BU28" s="584"/>
      <c r="BV28" s="15"/>
      <c r="BW28" s="190"/>
      <c r="BX28" s="190"/>
      <c r="BY28" s="190"/>
      <c r="BZ28" s="190"/>
      <c r="CA28" s="190"/>
      <c r="CB28" s="190"/>
      <c r="CC28" s="190"/>
      <c r="CD28" s="190"/>
      <c r="CE28" s="15"/>
      <c r="CF28" s="584"/>
      <c r="CH28" s="562">
        <f>+CH27+1</f>
        <v>25</v>
      </c>
      <c r="CI28" s="589"/>
      <c r="CJ28" s="566" t="s">
        <v>71</v>
      </c>
      <c r="CK28" s="602">
        <f>SUM(CK4:CK27)</f>
        <v>0.99999999999999989</v>
      </c>
      <c r="CL28" s="564">
        <f>CC9</f>
        <v>5861738.7768834978</v>
      </c>
      <c r="CM28" s="602">
        <f>SUM(CM4:CM27)</f>
        <v>1</v>
      </c>
      <c r="CN28" s="564">
        <f>CD9</f>
        <v>19211977.952013664</v>
      </c>
      <c r="CO28" s="564">
        <f>SUM(CO4:CO27)</f>
        <v>25073716.728897166</v>
      </c>
      <c r="CP28" s="602">
        <f>SUM(CP4:CP27)</f>
        <v>1</v>
      </c>
      <c r="CQ28" s="601">
        <f>CO28*100/$L$28</f>
        <v>1.1405125247529748</v>
      </c>
      <c r="CS28" s="584"/>
      <c r="CT28" s="15"/>
      <c r="DD28" s="15"/>
      <c r="DE28" s="584"/>
      <c r="DF28" s="514"/>
      <c r="DG28" s="585">
        <f>DG27+1</f>
        <v>25</v>
      </c>
      <c r="DH28" s="590"/>
      <c r="DI28" s="591" t="s">
        <v>71</v>
      </c>
      <c r="DJ28" s="602">
        <f>SUM(DJ4:DJ27)</f>
        <v>1</v>
      </c>
      <c r="DK28" s="564">
        <f>CZ7</f>
        <v>376694.73457649816</v>
      </c>
      <c r="DL28" s="602">
        <f>SUM(DL4:DL27)</f>
        <v>1</v>
      </c>
      <c r="DM28" s="564">
        <f>DA7</f>
        <v>2448135.5093462113</v>
      </c>
      <c r="DN28" s="602">
        <f>SUM(DN4:DN27)</f>
        <v>0.99999999999999989</v>
      </c>
      <c r="DO28" s="564">
        <f>DB7</f>
        <v>3548864.0135629829</v>
      </c>
      <c r="DP28" s="564">
        <f>SUM(DP4:DP27)</f>
        <v>6373694.2574856924</v>
      </c>
      <c r="DQ28" s="602">
        <f>SUM(DQ4:DQ27)</f>
        <v>1.0000000000000002</v>
      </c>
      <c r="DR28" s="601">
        <f>DP28*100/$L$28</f>
        <v>0.28991625805642068</v>
      </c>
      <c r="DS28" s="530"/>
      <c r="DT28" s="584"/>
      <c r="DU28" s="530"/>
      <c r="DV28" s="585">
        <f>DV27+1</f>
        <v>25</v>
      </c>
      <c r="DW28" s="590"/>
      <c r="DX28" s="591" t="s">
        <v>71</v>
      </c>
      <c r="DY28" s="602">
        <f>SUM(DY4:DY27)</f>
        <v>1</v>
      </c>
      <c r="DZ28" s="564">
        <f>C9</f>
        <v>4039492.6686239806</v>
      </c>
      <c r="EA28" s="601">
        <f>DZ28*100/$L$28</f>
        <v>0.18374188525883153</v>
      </c>
      <c r="EB28" s="530"/>
      <c r="EC28" s="584"/>
      <c r="ED28" s="15"/>
      <c r="EJ28" s="15"/>
      <c r="EK28" s="584"/>
      <c r="EL28" s="15"/>
      <c r="EM28" s="585">
        <f>+EM27+1</f>
        <v>25</v>
      </c>
      <c r="EN28" s="590"/>
      <c r="EO28" s="591" t="s">
        <v>71</v>
      </c>
      <c r="EP28" s="602">
        <f>SUM(EP4:EP27)</f>
        <v>0.99999999999999989</v>
      </c>
      <c r="EQ28" s="564">
        <f>EI4</f>
        <v>7875562.501986728</v>
      </c>
      <c r="ER28" s="602">
        <f>SUM(ER4:ER27)</f>
        <v>1</v>
      </c>
      <c r="ES28" s="564">
        <f>EI5</f>
        <v>1016603.1997237008</v>
      </c>
      <c r="ET28" s="602">
        <f>SUM(ET4:ET27)</f>
        <v>0.99999999999999989</v>
      </c>
      <c r="EU28" s="564">
        <f>EI6</f>
        <v>4303499.3632418104</v>
      </c>
      <c r="EV28" s="564">
        <f>SUM(EV4:EV27)</f>
        <v>13195665.064952239</v>
      </c>
      <c r="EW28" s="602">
        <f>SUM(EW4:EW27)</f>
        <v>0.99999999999999989</v>
      </c>
      <c r="EX28" s="601">
        <f>EV28*100/$L$28</f>
        <v>0.60022299213736274</v>
      </c>
      <c r="EY28" s="15"/>
      <c r="EZ28" s="584"/>
      <c r="FA28" s="15"/>
      <c r="FE28" s="15"/>
      <c r="FF28" s="584"/>
      <c r="FG28" s="530"/>
      <c r="FH28" s="585">
        <f>+FH27+1</f>
        <v>25</v>
      </c>
      <c r="FI28" s="603"/>
      <c r="FJ28" s="560" t="s">
        <v>71</v>
      </c>
      <c r="FK28" s="602">
        <f t="shared" si="47"/>
        <v>0.99999999999999989</v>
      </c>
      <c r="FL28" s="564">
        <f>FD6</f>
        <v>19744156.909952182</v>
      </c>
      <c r="FM28" s="601">
        <f>FL28*100/$L$28</f>
        <v>0.89809015910817058</v>
      </c>
      <c r="FN28" s="15"/>
      <c r="FQ28" s="562">
        <v>25</v>
      </c>
      <c r="FR28" s="604"/>
      <c r="FS28" s="598" t="s">
        <v>71</v>
      </c>
      <c r="FT28" s="564">
        <f t="shared" ref="FT28:FY28" si="131">SUM(FT4:FT27)</f>
        <v>42148432.850808538</v>
      </c>
      <c r="FU28" s="564">
        <f t="shared" si="131"/>
        <v>19173425.776259013</v>
      </c>
      <c r="FV28" s="564">
        <f t="shared" si="131"/>
        <v>25073716.728897166</v>
      </c>
      <c r="FW28" s="564">
        <f t="shared" si="131"/>
        <v>6373694.2574856924</v>
      </c>
      <c r="FX28" s="564">
        <f t="shared" si="131"/>
        <v>4039492.6686239811</v>
      </c>
      <c r="FY28" s="564">
        <f t="shared" si="131"/>
        <v>13195665.064952239</v>
      </c>
      <c r="FZ28" s="564">
        <f>SUM(FZ4:FZ27)</f>
        <v>19744156.909952182</v>
      </c>
      <c r="GA28" s="564">
        <f>SUM(FT28:FZ28)</f>
        <v>129748584.25697881</v>
      </c>
      <c r="GB28" s="605">
        <v>5.9055510012352572</v>
      </c>
      <c r="GC28" s="15"/>
      <c r="GF28" s="585">
        <v>25</v>
      </c>
      <c r="GG28" s="606"/>
      <c r="GH28" s="566" t="s">
        <v>71</v>
      </c>
      <c r="GI28" s="601">
        <f t="shared" ref="GI28:GP28" si="132">FT28*100/$GQ$28</f>
        <v>1.9171794945603662</v>
      </c>
      <c r="GJ28" s="601">
        <f t="shared" si="132"/>
        <v>0.87212966775854395</v>
      </c>
      <c r="GK28" s="601">
        <f t="shared" si="132"/>
        <v>1.1405125247529748</v>
      </c>
      <c r="GL28" s="601">
        <f t="shared" si="132"/>
        <v>0.28991625805642068</v>
      </c>
      <c r="GM28" s="601">
        <f t="shared" si="132"/>
        <v>0.18374188525883153</v>
      </c>
      <c r="GN28" s="601">
        <f t="shared" si="132"/>
        <v>0.60022299213736274</v>
      </c>
      <c r="GO28" s="601">
        <f t="shared" si="132"/>
        <v>0.89809015910817058</v>
      </c>
      <c r="GP28" s="605">
        <f t="shared" si="132"/>
        <v>5.9017929816326706</v>
      </c>
      <c r="GQ28" s="587">
        <f>SUM(GQ4:GQ27)</f>
        <v>2198460445.1694136</v>
      </c>
      <c r="GR28" s="607"/>
      <c r="GU28" s="562">
        <v>25</v>
      </c>
      <c r="GV28" s="604"/>
      <c r="GW28" s="598" t="s">
        <v>71</v>
      </c>
      <c r="GX28" s="586"/>
      <c r="GY28" s="564">
        <f>SUM(GY4:GY27)</f>
        <v>129748584.25697881</v>
      </c>
      <c r="GZ28" s="608">
        <f>SUM(GZ4:GZ27)</f>
        <v>2198460445.1694136</v>
      </c>
      <c r="HA28" s="601">
        <f t="shared" ref="HA28" si="133">IF(GZ28&lt;&gt;0,GY28/GZ28*100,0)</f>
        <v>5.9017929816326706</v>
      </c>
      <c r="HB28" s="564">
        <f>SUM(HB4:HB27)</f>
        <v>129748589.37699862</v>
      </c>
      <c r="HC28" s="569">
        <f>SUM(HC4:HC27)</f>
        <v>5.1200198093534937</v>
      </c>
      <c r="HD28" s="609"/>
      <c r="HG28" s="609"/>
      <c r="HH28" s="609"/>
      <c r="HI28" s="609"/>
      <c r="HJ28" s="609"/>
      <c r="HK28" s="609"/>
      <c r="HL28" s="609"/>
      <c r="HM28" s="609"/>
      <c r="HP28" s="585">
        <v>25</v>
      </c>
      <c r="HQ28" s="610" t="s">
        <v>71</v>
      </c>
      <c r="HR28" s="566"/>
      <c r="HS28" s="611">
        <f>SUM(HS4:HS27)</f>
        <v>2198460445.1694136</v>
      </c>
      <c r="HT28" s="612">
        <f>SUMPRODUCT(HS4:HS27,HT4:HT27)/SUM(HS4:HS27)</f>
        <v>5.9017932145238188</v>
      </c>
      <c r="HU28" s="612">
        <f>SUMPRODUCT(HS4:HS27,HU4:HU27)/SUM(HS4:HS27)</f>
        <v>5.1772912378174532</v>
      </c>
      <c r="HV28" s="614">
        <f>IF(HU28&lt;&gt;0,HT28/HU28-1,"")</f>
        <v>0.13993842405740109</v>
      </c>
      <c r="HW28" s="613">
        <f t="shared" si="96"/>
        <v>0.72450197670636562</v>
      </c>
      <c r="HX28" s="615"/>
      <c r="HY28" s="15"/>
      <c r="HZ28" s="584"/>
      <c r="IA28" s="15"/>
      <c r="IL28" s="15"/>
      <c r="IM28" s="584"/>
      <c r="IN28" s="15"/>
      <c r="IO28" s="616">
        <v>25</v>
      </c>
      <c r="IP28" s="610" t="s">
        <v>71</v>
      </c>
      <c r="IQ28" s="566"/>
      <c r="IR28" s="617">
        <f>SUM(IR4:IR27)</f>
        <v>129748584.25697881</v>
      </c>
      <c r="IS28" s="611">
        <f>SUM(IS4:IS27)</f>
        <v>2198460445.1694136</v>
      </c>
      <c r="IT28" s="618">
        <f>SUMPRODUCT(IS4:IS27,IT4:IT27)/SUM(IS4:IS27)</f>
        <v>5.9017932145238188</v>
      </c>
      <c r="IU28" s="611">
        <f>SUM(IU4:IU27)</f>
        <v>316639919.99999994</v>
      </c>
      <c r="IV28" s="611">
        <f>SUM(IV4:IV27)</f>
        <v>1881820525.1694136</v>
      </c>
      <c r="IW28" s="617">
        <f>SUM(IW4:IW27)</f>
        <v>4749598.8</v>
      </c>
      <c r="IX28" s="617">
        <f>SUM(IX4:IX27)</f>
        <v>124998985.4569788</v>
      </c>
      <c r="IY28" s="605">
        <f>IX28/IS28*100</f>
        <v>5.6857509413750842</v>
      </c>
      <c r="IZ28" s="605">
        <f>SUMPRODUCT(IU4:IU27,IZ4:IZ27)/SUM(IU4:IU27)</f>
        <v>7.1611898153793039</v>
      </c>
      <c r="JA28" s="617">
        <f>SUM(JA4:JA27)</f>
        <v>129748584.23101103</v>
      </c>
      <c r="JB28" s="619"/>
      <c r="JF28" s="585">
        <v>25</v>
      </c>
      <c r="JG28" s="610" t="s">
        <v>71</v>
      </c>
      <c r="JH28" s="566"/>
      <c r="JI28" s="611">
        <f>SUM(JI4:JI27)</f>
        <v>2198460445.1694136</v>
      </c>
      <c r="JJ28" s="612">
        <f>SUMPRODUCT($JI4:$JI27,JJ4:JJ27)/SUM($JI4:$JI27)</f>
        <v>5.6857509401939055</v>
      </c>
      <c r="JK28" s="612">
        <f>SUMPRODUCT($JI4:$JI27,JK4:JK27)/SUM($JI4:$JI27)</f>
        <v>4.9580100678423111</v>
      </c>
      <c r="JL28" s="614">
        <f>IF(JK28&lt;&gt;0,JJ28/JK28-1,"")</f>
        <v>0.14678083795588215</v>
      </c>
      <c r="JM28" s="613">
        <f t="shared" si="109"/>
        <v>0.72774087235159435</v>
      </c>
      <c r="JN28" s="615"/>
      <c r="JO28" s="5"/>
      <c r="JS28" s="612">
        <v>5.7021191911919562</v>
      </c>
      <c r="JT28" s="612">
        <f t="shared" si="110"/>
        <v>-1.6368250998050726E-2</v>
      </c>
      <c r="JU28" s="1011">
        <v>2182522571</v>
      </c>
      <c r="JV28" s="1011">
        <f t="shared" si="125"/>
        <v>-15937874.169413567</v>
      </c>
      <c r="JW28" s="1069">
        <f t="shared" si="111"/>
        <v>-2.8705557441406535E-3</v>
      </c>
      <c r="JX28" s="997">
        <v>124450038.37308708</v>
      </c>
      <c r="JY28" s="997">
        <f t="shared" si="112"/>
        <v>124998985.43101105</v>
      </c>
      <c r="JZ28" s="516"/>
      <c r="KA28" s="516"/>
      <c r="KB28" s="516"/>
      <c r="KC28" s="516"/>
      <c r="KE28" s="516"/>
      <c r="KF28" s="516"/>
    </row>
    <row r="29" spans="2:292" ht="16.5" x14ac:dyDescent="0.3">
      <c r="F29" s="530"/>
      <c r="G29" s="620"/>
      <c r="H29" s="530"/>
      <c r="L29" s="236"/>
      <c r="N29" s="236"/>
      <c r="O29" s="236"/>
      <c r="R29" s="530"/>
      <c r="S29" s="620"/>
      <c r="T29" s="530"/>
      <c r="U29" s="514"/>
      <c r="V29" s="676"/>
      <c r="Z29" s="530"/>
      <c r="AA29" s="620"/>
      <c r="AB29" s="530"/>
      <c r="AG29" s="530"/>
      <c r="AH29" s="620"/>
      <c r="AI29" s="530"/>
      <c r="AJ29" s="530"/>
      <c r="AK29" s="530"/>
      <c r="AL29" s="530"/>
      <c r="AP29" s="621"/>
      <c r="AQ29" s="621"/>
      <c r="AR29" s="530"/>
      <c r="AS29" s="530"/>
      <c r="AT29" s="530"/>
      <c r="AU29" s="530"/>
      <c r="AV29" s="622"/>
      <c r="AW29" s="530"/>
      <c r="AX29" s="530"/>
      <c r="AY29" s="530"/>
      <c r="AZ29" s="530"/>
      <c r="BA29" s="530"/>
      <c r="BB29" s="620"/>
      <c r="BC29" s="530"/>
      <c r="BD29" s="530"/>
      <c r="BE29" s="530"/>
      <c r="BF29" s="530"/>
      <c r="BG29" s="530"/>
      <c r="BH29" s="530"/>
      <c r="BI29" s="620"/>
      <c r="BJ29" s="530"/>
      <c r="BT29" s="530"/>
      <c r="BU29" s="620"/>
      <c r="BV29" s="623"/>
      <c r="BW29" s="190"/>
      <c r="BX29" s="190"/>
      <c r="BY29" s="190"/>
      <c r="BZ29" s="190"/>
      <c r="CA29" s="190"/>
      <c r="CB29" s="190"/>
      <c r="CC29" s="190"/>
      <c r="CD29" s="190"/>
      <c r="CE29" s="530"/>
      <c r="CF29" s="620"/>
      <c r="CG29" s="15"/>
      <c r="CH29" s="5"/>
      <c r="CL29" s="16"/>
      <c r="CN29" s="16"/>
      <c r="CO29" s="16"/>
      <c r="CR29" s="15"/>
      <c r="CS29" s="620"/>
      <c r="CT29" s="530"/>
      <c r="DD29" s="623"/>
      <c r="DE29" s="620"/>
      <c r="DF29" s="530"/>
      <c r="DG29" s="530"/>
      <c r="DH29" s="530"/>
      <c r="DI29" s="530"/>
      <c r="DJ29" s="530"/>
      <c r="DK29" s="530"/>
      <c r="DL29" s="530"/>
      <c r="DM29" s="530"/>
      <c r="DN29" s="530"/>
      <c r="DO29" s="530"/>
      <c r="DP29" s="530"/>
      <c r="DQ29" s="530"/>
      <c r="DR29" s="530"/>
      <c r="DS29" s="530"/>
      <c r="DT29" s="620"/>
      <c r="DU29" s="530"/>
      <c r="DV29" s="514"/>
      <c r="DW29" s="530"/>
      <c r="DX29" s="530"/>
      <c r="DY29" s="530"/>
      <c r="DZ29" s="530"/>
      <c r="EA29" s="530"/>
      <c r="EB29" s="530"/>
      <c r="EC29" s="620"/>
      <c r="ED29" s="530"/>
      <c r="EJ29" s="530"/>
      <c r="EK29" s="620"/>
      <c r="EL29" s="530"/>
      <c r="EM29" s="530"/>
      <c r="EN29" s="530"/>
      <c r="EO29" s="530"/>
      <c r="EP29" s="530"/>
      <c r="EQ29" s="530"/>
      <c r="ER29" s="530"/>
      <c r="ES29" s="530"/>
      <c r="ET29" s="530"/>
      <c r="EU29" s="624"/>
      <c r="EV29" s="530"/>
      <c r="EW29" s="530"/>
      <c r="EX29" s="530"/>
      <c r="EY29" s="530"/>
      <c r="EZ29" s="620"/>
      <c r="FA29" s="530"/>
      <c r="FE29" s="530"/>
      <c r="FF29" s="620"/>
      <c r="FG29" s="530"/>
      <c r="FH29" s="530"/>
      <c r="FI29" s="530"/>
      <c r="FJ29" s="530"/>
      <c r="FK29" s="530"/>
      <c r="FL29" s="530"/>
      <c r="FM29" s="530"/>
      <c r="FN29" s="530"/>
      <c r="GA29" s="355">
        <f>GA28-'DCA 8 month Phase I'!MC25</f>
        <v>-9699.0944341272116</v>
      </c>
      <c r="GF29" s="530"/>
      <c r="GG29" s="530"/>
      <c r="GH29" s="530"/>
      <c r="GI29" s="530"/>
      <c r="GJ29" s="530"/>
      <c r="GK29" s="530"/>
      <c r="GL29" s="530"/>
      <c r="GM29" s="530"/>
      <c r="GN29" s="530"/>
      <c r="GO29" s="530"/>
      <c r="GP29" s="530"/>
      <c r="GQ29" s="530"/>
      <c r="GR29" s="530"/>
      <c r="HD29" s="204"/>
      <c r="HG29" s="549"/>
      <c r="HH29" s="549"/>
      <c r="HI29" s="549"/>
      <c r="HJ29" s="549"/>
      <c r="HK29" s="549"/>
      <c r="HL29" s="204"/>
      <c r="HM29" s="204"/>
      <c r="HY29" s="530"/>
      <c r="HZ29" s="620"/>
      <c r="IA29" s="530"/>
      <c r="IO29" s="514"/>
      <c r="IP29" s="530"/>
      <c r="JY29" s="997"/>
      <c r="JZ29" s="516"/>
      <c r="KA29" s="516"/>
      <c r="KB29" s="516"/>
      <c r="KC29" s="516"/>
    </row>
    <row r="30" spans="2:292" ht="16.5" x14ac:dyDescent="0.3">
      <c r="F30" s="530"/>
      <c r="G30" s="620"/>
      <c r="H30" s="530"/>
      <c r="R30" s="530"/>
      <c r="S30" s="620"/>
      <c r="T30" s="530"/>
      <c r="U30" s="514"/>
      <c r="V30" s="676"/>
      <c r="W30" s="948" t="s">
        <v>414</v>
      </c>
      <c r="X30" s="739"/>
      <c r="Y30" s="739"/>
      <c r="Z30" s="530"/>
      <c r="AA30" s="620"/>
      <c r="AB30" s="530"/>
      <c r="AG30" s="530"/>
      <c r="AH30" s="620"/>
      <c r="AI30" s="530"/>
      <c r="AJ30" s="530"/>
      <c r="AK30" s="530"/>
      <c r="AL30" s="530"/>
      <c r="AP30" s="530"/>
      <c r="AQ30" s="705" t="s">
        <v>414</v>
      </c>
      <c r="AR30" s="705"/>
      <c r="AS30" s="705">
        <v>3</v>
      </c>
      <c r="AT30" s="705">
        <v>3</v>
      </c>
      <c r="AU30" s="705"/>
      <c r="AV30" s="705"/>
      <c r="AW30" s="705"/>
      <c r="AX30" s="705"/>
      <c r="AY30" s="625"/>
      <c r="AZ30" s="625">
        <v>4</v>
      </c>
      <c r="BA30" s="530"/>
      <c r="BB30" s="620"/>
      <c r="BC30" s="530"/>
      <c r="BD30" s="530"/>
      <c r="BE30" s="530"/>
      <c r="BF30" s="530"/>
      <c r="BG30" s="530"/>
      <c r="BH30" s="530"/>
      <c r="BI30" s="620"/>
      <c r="BJ30" s="530"/>
      <c r="BM30" s="714" t="s">
        <v>416</v>
      </c>
      <c r="BN30" s="714"/>
      <c r="BO30" s="714"/>
      <c r="BP30" s="714"/>
      <c r="BQ30" s="714"/>
      <c r="BR30" s="714"/>
      <c r="BS30" s="714"/>
      <c r="BT30" s="530"/>
      <c r="BU30" s="620"/>
      <c r="BV30" s="623"/>
      <c r="BW30" s="190"/>
      <c r="BX30" s="190"/>
      <c r="BY30" s="190"/>
      <c r="BZ30" s="190"/>
      <c r="CA30" s="190"/>
      <c r="CB30" s="190"/>
      <c r="CC30" s="190"/>
      <c r="CD30" s="190"/>
      <c r="CE30" s="530"/>
      <c r="CF30" s="620"/>
      <c r="CG30" s="530"/>
      <c r="CH30" s="660"/>
      <c r="CI30" s="681"/>
      <c r="CJ30" s="729" t="s">
        <v>417</v>
      </c>
      <c r="CK30" s="660"/>
      <c r="CL30" s="730"/>
      <c r="CM30" s="660"/>
      <c r="CN30" s="730"/>
      <c r="CO30" s="730"/>
      <c r="CP30" s="660"/>
      <c r="CQ30" s="660"/>
      <c r="CR30" s="530"/>
      <c r="CS30" s="620"/>
      <c r="CT30" s="530"/>
      <c r="DD30" s="623"/>
      <c r="DE30" s="620"/>
      <c r="DF30" s="530"/>
      <c r="DG30" s="530"/>
      <c r="DH30" s="530"/>
      <c r="DI30" s="729" t="s">
        <v>418</v>
      </c>
      <c r="DJ30" s="741"/>
      <c r="DK30" s="741"/>
      <c r="DL30" s="741"/>
      <c r="DM30" s="741"/>
      <c r="DN30" s="741"/>
      <c r="DO30" s="741"/>
      <c r="DP30" s="741"/>
      <c r="DQ30" s="741"/>
      <c r="DR30" s="741"/>
      <c r="DT30" s="620"/>
      <c r="DU30" s="530"/>
      <c r="DV30" s="530"/>
      <c r="DW30" s="530"/>
      <c r="DX30" s="1068" t="s">
        <v>418</v>
      </c>
      <c r="DY30" s="1068"/>
      <c r="DZ30" s="1068"/>
      <c r="EA30" s="1068"/>
      <c r="EB30" s="660"/>
      <c r="EC30" s="620"/>
      <c r="ED30" s="530"/>
      <c r="EJ30" s="530"/>
      <c r="EK30" s="620"/>
      <c r="EL30" s="530"/>
      <c r="EM30" s="676"/>
      <c r="EN30" s="676"/>
      <c r="EO30" s="729" t="s">
        <v>419</v>
      </c>
      <c r="EP30" s="729"/>
      <c r="EQ30" s="729"/>
      <c r="ER30" s="729"/>
      <c r="ES30" s="729"/>
      <c r="ET30" s="729"/>
      <c r="EU30" s="729"/>
      <c r="EV30" s="729"/>
      <c r="EW30" s="729"/>
      <c r="EX30" s="729"/>
      <c r="EY30" s="530"/>
      <c r="EZ30" s="620"/>
      <c r="FA30" s="530"/>
      <c r="FE30" s="530"/>
      <c r="FF30" s="620"/>
      <c r="FG30" s="530"/>
      <c r="FH30" s="625"/>
      <c r="FI30" s="626"/>
      <c r="FJ30" s="626"/>
      <c r="FK30" s="626"/>
      <c r="FL30" s="626"/>
      <c r="FM30" s="626">
        <v>4</v>
      </c>
      <c r="FN30" s="530"/>
      <c r="GF30" s="530"/>
      <c r="GG30" s="530"/>
      <c r="GH30" s="530"/>
      <c r="GI30" s="552"/>
      <c r="GJ30" s="552"/>
      <c r="GK30" s="552"/>
      <c r="GL30" s="552"/>
      <c r="GM30" s="552"/>
      <c r="GN30" s="552"/>
      <c r="GO30" s="552"/>
      <c r="GP30" s="530"/>
      <c r="GQ30" s="622"/>
      <c r="GR30" s="530"/>
      <c r="HD30" s="204"/>
      <c r="HG30" s="549"/>
      <c r="HH30" s="549"/>
      <c r="HI30" s="549"/>
      <c r="HJ30" s="549"/>
      <c r="HK30" s="549"/>
      <c r="HL30" s="204"/>
      <c r="HM30" s="204"/>
      <c r="HP30" s="706" t="s">
        <v>420</v>
      </c>
      <c r="HQ30" s="628"/>
      <c r="HR30" s="629"/>
      <c r="HS30" s="630">
        <v>3</v>
      </c>
      <c r="HT30" s="630"/>
      <c r="HU30" s="630">
        <v>11</v>
      </c>
      <c r="HV30" s="630"/>
      <c r="HW30" s="630"/>
      <c r="HX30" s="630">
        <v>6</v>
      </c>
      <c r="HY30" s="530"/>
      <c r="HZ30" s="620"/>
      <c r="IA30" s="530"/>
      <c r="IO30" s="530"/>
      <c r="IP30" s="530"/>
      <c r="JF30" s="706" t="s">
        <v>420</v>
      </c>
      <c r="JG30" s="780"/>
      <c r="JH30" s="781"/>
      <c r="JI30" s="782">
        <v>3</v>
      </c>
      <c r="JJ30" s="782"/>
      <c r="JK30" s="782">
        <v>5</v>
      </c>
      <c r="JL30" s="782"/>
      <c r="JM30" s="782"/>
      <c r="JN30" s="782">
        <v>6</v>
      </c>
      <c r="JO30" s="660"/>
      <c r="JZ30" s="516"/>
      <c r="KA30" s="516"/>
      <c r="KB30" s="516"/>
      <c r="KC30" s="516"/>
    </row>
    <row r="31" spans="2:292" ht="16.5" x14ac:dyDescent="0.3">
      <c r="G31" s="620"/>
      <c r="H31" s="530"/>
      <c r="S31" s="620"/>
      <c r="T31" s="530"/>
      <c r="W31" s="948" t="s">
        <v>415</v>
      </c>
      <c r="X31" s="739">
        <v>2</v>
      </c>
      <c r="Y31" s="739">
        <f>X31+1</f>
        <v>3</v>
      </c>
      <c r="AA31" s="620"/>
      <c r="AB31" s="530"/>
      <c r="AH31" s="620"/>
      <c r="AI31" s="530"/>
      <c r="AJ31" s="530"/>
      <c r="AK31" s="530"/>
      <c r="AL31" s="530"/>
      <c r="AO31" s="631"/>
      <c r="AQ31" s="706" t="s">
        <v>421</v>
      </c>
      <c r="AR31" s="706">
        <v>2</v>
      </c>
      <c r="AS31" s="706">
        <f>+AR31+1</f>
        <v>3</v>
      </c>
      <c r="AT31" s="706">
        <f t="shared" ref="AT31:AX31" si="134">+AS31+1</f>
        <v>4</v>
      </c>
      <c r="AU31" s="706">
        <f t="shared" si="134"/>
        <v>5</v>
      </c>
      <c r="AV31" s="706">
        <f t="shared" si="134"/>
        <v>6</v>
      </c>
      <c r="AW31" s="706">
        <f t="shared" si="134"/>
        <v>7</v>
      </c>
      <c r="AX31" s="706">
        <f t="shared" si="134"/>
        <v>8</v>
      </c>
      <c r="AY31" s="627"/>
      <c r="AZ31" s="627">
        <f>+AX31+1</f>
        <v>9</v>
      </c>
      <c r="BB31" s="620"/>
      <c r="BC31" s="530"/>
      <c r="BD31" s="530"/>
      <c r="BE31" s="530"/>
      <c r="BF31" s="530"/>
      <c r="BG31" s="530"/>
      <c r="BI31" s="620"/>
      <c r="BJ31" s="530"/>
      <c r="BM31" s="660"/>
      <c r="BN31" s="660"/>
      <c r="BO31" s="660"/>
      <c r="BP31" s="660"/>
      <c r="BQ31" s="660"/>
      <c r="BR31" s="660"/>
      <c r="BS31" s="660"/>
      <c r="BU31" s="620"/>
      <c r="BV31" s="623"/>
      <c r="BW31" s="190"/>
      <c r="BX31" s="190"/>
      <c r="BY31" s="190"/>
      <c r="BZ31" s="190"/>
      <c r="CA31" s="190"/>
      <c r="CB31" s="190"/>
      <c r="CC31" s="190"/>
      <c r="CD31" s="190"/>
      <c r="CF31" s="620"/>
      <c r="CG31" s="530"/>
      <c r="CH31" s="660"/>
      <c r="CI31" s="681"/>
      <c r="CJ31" s="660"/>
      <c r="CK31" s="660"/>
      <c r="CL31" s="660"/>
      <c r="CM31" s="660"/>
      <c r="CN31" s="660"/>
      <c r="CO31" s="660"/>
      <c r="CP31" s="660"/>
      <c r="CQ31" s="660"/>
      <c r="CR31" s="530"/>
      <c r="CS31" s="620"/>
      <c r="CT31" s="530"/>
      <c r="DD31" s="190"/>
      <c r="DE31" s="620"/>
      <c r="DF31" s="530"/>
      <c r="DI31" s="660"/>
      <c r="DJ31" s="660"/>
      <c r="DK31" s="660"/>
      <c r="DL31" s="660"/>
      <c r="DM31" s="660"/>
      <c r="DN31" s="660"/>
      <c r="DO31" s="660"/>
      <c r="DP31" s="660"/>
      <c r="DQ31" s="660"/>
      <c r="DR31" s="660"/>
      <c r="DT31" s="620"/>
      <c r="DU31" s="530"/>
      <c r="DX31" s="1068"/>
      <c r="DY31" s="1068"/>
      <c r="DZ31" s="1068"/>
      <c r="EA31" s="1068"/>
      <c r="EB31" s="660"/>
      <c r="EC31" s="620"/>
      <c r="ED31" s="530"/>
      <c r="EK31" s="620"/>
      <c r="EL31" s="530"/>
      <c r="EM31" s="676"/>
      <c r="EN31" s="676"/>
      <c r="EO31" s="676"/>
      <c r="EP31" s="676"/>
      <c r="EQ31" s="676"/>
      <c r="ER31" s="676"/>
      <c r="ES31" s="676"/>
      <c r="ET31" s="676"/>
      <c r="EU31" s="742"/>
      <c r="EV31" s="676"/>
      <c r="EW31" s="676"/>
      <c r="EX31" s="676"/>
      <c r="EZ31" s="620"/>
      <c r="FA31" s="530"/>
      <c r="FF31" s="620"/>
      <c r="FG31" s="530"/>
      <c r="FH31" s="705" t="s">
        <v>414</v>
      </c>
      <c r="FI31" s="626"/>
      <c r="FJ31" s="626"/>
      <c r="FK31" s="626"/>
      <c r="FL31" s="626">
        <f>Y31+1</f>
        <v>4</v>
      </c>
      <c r="FM31" s="626">
        <f t="shared" ref="FM31" si="135">FL31+1</f>
        <v>5</v>
      </c>
      <c r="GF31" s="530"/>
      <c r="GG31" s="530"/>
      <c r="GH31" s="655" t="s">
        <v>414</v>
      </c>
      <c r="GI31" s="655">
        <v>10</v>
      </c>
      <c r="GJ31" s="655">
        <v>8</v>
      </c>
      <c r="GK31" s="655">
        <v>9</v>
      </c>
      <c r="GL31" s="655">
        <v>11</v>
      </c>
      <c r="GM31" s="655">
        <v>5</v>
      </c>
      <c r="GN31" s="655">
        <v>11</v>
      </c>
      <c r="GO31" s="655">
        <v>5</v>
      </c>
      <c r="GP31" s="655">
        <v>11</v>
      </c>
      <c r="GQ31" s="655">
        <v>3</v>
      </c>
      <c r="GZ31" s="949" t="s">
        <v>422</v>
      </c>
      <c r="HA31" s="950">
        <f>31.49*100</f>
        <v>3149</v>
      </c>
      <c r="HD31" s="565"/>
      <c r="HG31" s="565"/>
      <c r="HH31" s="565"/>
      <c r="HI31" s="565"/>
      <c r="HJ31" s="565"/>
      <c r="HK31" s="565"/>
      <c r="HL31" s="565"/>
      <c r="HM31" s="565"/>
      <c r="HT31" s="241"/>
      <c r="HU31" s="241"/>
      <c r="HZ31" s="620"/>
      <c r="IA31" s="530"/>
      <c r="IP31" s="530"/>
      <c r="JF31" s="660"/>
      <c r="JG31" s="660"/>
      <c r="JH31" s="660"/>
      <c r="JI31" s="660"/>
      <c r="JJ31" s="660"/>
      <c r="JK31" s="660"/>
      <c r="JL31" s="660"/>
      <c r="JM31" s="660"/>
      <c r="JN31" s="660"/>
      <c r="JO31" s="660"/>
    </row>
    <row r="32" spans="2:292" ht="16.5" x14ac:dyDescent="0.3">
      <c r="G32" s="620"/>
      <c r="H32" s="530"/>
      <c r="S32" s="620"/>
      <c r="T32" s="530"/>
      <c r="AA32" s="620"/>
      <c r="AB32" s="530"/>
      <c r="AH32" s="620"/>
      <c r="AI32" s="530"/>
      <c r="AJ32" s="530"/>
      <c r="AK32" s="530"/>
      <c r="AL32" s="530"/>
      <c r="BB32" s="620"/>
      <c r="BC32" s="530"/>
      <c r="BD32" s="530"/>
      <c r="BE32" s="530"/>
      <c r="BF32" s="530"/>
      <c r="BG32" s="530"/>
      <c r="BI32" s="620"/>
      <c r="BJ32" s="530"/>
      <c r="BM32" s="660"/>
      <c r="BN32" s="660"/>
      <c r="BO32" s="660"/>
      <c r="BP32" s="660"/>
      <c r="BQ32" s="660"/>
      <c r="BR32" s="660"/>
      <c r="BS32" s="660"/>
      <c r="BU32" s="620"/>
      <c r="BV32" s="623"/>
      <c r="BW32" s="190"/>
      <c r="BX32" s="190"/>
      <c r="BY32" s="190"/>
      <c r="BZ32" s="190"/>
      <c r="CA32" s="190"/>
      <c r="CB32" s="190"/>
      <c r="CC32" s="190"/>
      <c r="CD32" s="190"/>
      <c r="CF32" s="620"/>
      <c r="CG32" s="530"/>
      <c r="CH32" s="655"/>
      <c r="CI32" s="678" t="s">
        <v>414</v>
      </c>
      <c r="CJ32" s="655"/>
      <c r="CK32" s="655">
        <v>4</v>
      </c>
      <c r="CL32" s="655"/>
      <c r="CM32" s="655">
        <v>7</v>
      </c>
      <c r="CN32" s="655"/>
      <c r="CO32" s="655"/>
      <c r="CP32" s="655"/>
      <c r="CQ32" s="655">
        <v>4</v>
      </c>
      <c r="CS32" s="620"/>
      <c r="CT32" s="530"/>
      <c r="DD32" s="190"/>
      <c r="DE32" s="620"/>
      <c r="DF32" s="530"/>
      <c r="DI32" s="660"/>
      <c r="DJ32" s="660"/>
      <c r="DK32" s="660"/>
      <c r="DL32" s="660"/>
      <c r="DM32" s="660"/>
      <c r="DN32" s="660"/>
      <c r="DO32" s="660"/>
      <c r="DP32" s="660"/>
      <c r="DQ32" s="660"/>
      <c r="DR32" s="660"/>
      <c r="DT32" s="620"/>
      <c r="DU32" s="530"/>
      <c r="DX32" s="660"/>
      <c r="DY32" s="660"/>
      <c r="DZ32" s="660"/>
      <c r="EA32" s="660"/>
      <c r="EB32" s="660"/>
      <c r="EC32" s="620"/>
      <c r="ED32" s="530"/>
      <c r="EK32" s="620"/>
      <c r="EL32" s="530"/>
      <c r="EM32" s="676"/>
      <c r="EN32" s="676"/>
      <c r="EO32" s="676"/>
      <c r="EP32" s="676"/>
      <c r="EQ32" s="676"/>
      <c r="ER32" s="676"/>
      <c r="ES32" s="676"/>
      <c r="ET32" s="676"/>
      <c r="EU32" s="742"/>
      <c r="EV32" s="676"/>
      <c r="EW32" s="676"/>
      <c r="EX32" s="676"/>
      <c r="EZ32" s="620"/>
      <c r="FA32" s="530"/>
      <c r="FF32" s="620"/>
      <c r="FG32" s="530"/>
      <c r="GH32" s="655" t="s">
        <v>421</v>
      </c>
      <c r="GI32" s="655">
        <v>3</v>
      </c>
      <c r="GJ32" s="655">
        <f t="shared" ref="GJ32:GQ32" si="136">+GI32+1</f>
        <v>4</v>
      </c>
      <c r="GK32" s="655">
        <f t="shared" si="136"/>
        <v>5</v>
      </c>
      <c r="GL32" s="655">
        <f t="shared" si="136"/>
        <v>6</v>
      </c>
      <c r="GM32" s="655">
        <f t="shared" si="136"/>
        <v>7</v>
      </c>
      <c r="GN32" s="655">
        <f t="shared" si="136"/>
        <v>8</v>
      </c>
      <c r="GO32" s="655">
        <f t="shared" si="136"/>
        <v>9</v>
      </c>
      <c r="GP32" s="655">
        <f t="shared" si="136"/>
        <v>10</v>
      </c>
      <c r="GQ32" s="655">
        <f t="shared" si="136"/>
        <v>11</v>
      </c>
      <c r="HT32" s="235"/>
      <c r="HU32" s="235"/>
      <c r="HZ32" s="620"/>
      <c r="IA32" s="530"/>
      <c r="IP32" s="530"/>
      <c r="JF32" s="660"/>
      <c r="JG32" s="660"/>
      <c r="JH32" s="660"/>
      <c r="JI32" s="660"/>
      <c r="JJ32" s="660"/>
      <c r="JK32" s="660"/>
      <c r="JL32" s="660"/>
      <c r="JM32" s="660"/>
      <c r="JN32" s="660"/>
      <c r="JO32" s="660"/>
    </row>
    <row r="33" spans="7:275" ht="16.5" x14ac:dyDescent="0.3">
      <c r="G33" s="620"/>
      <c r="H33" s="530"/>
      <c r="S33" s="620"/>
      <c r="T33" s="530"/>
      <c r="AA33" s="620"/>
      <c r="AB33" s="530"/>
      <c r="AH33" s="620"/>
      <c r="AI33" s="530"/>
      <c r="AJ33" s="530"/>
      <c r="AK33" s="530"/>
      <c r="AL33" s="530"/>
      <c r="BB33" s="620"/>
      <c r="BC33" s="530"/>
      <c r="BD33" s="530"/>
      <c r="BE33" s="530"/>
      <c r="BF33" s="530"/>
      <c r="BG33" s="530"/>
      <c r="BI33" s="620"/>
      <c r="BJ33" s="530"/>
      <c r="BM33" s="705" t="s">
        <v>414</v>
      </c>
      <c r="BN33" s="705">
        <v>9</v>
      </c>
      <c r="BO33" s="705"/>
      <c r="BP33" s="705">
        <v>4</v>
      </c>
      <c r="BQ33" s="705"/>
      <c r="BR33" s="705"/>
      <c r="BS33" s="705">
        <v>4</v>
      </c>
      <c r="BU33" s="620"/>
      <c r="BV33" s="623"/>
      <c r="BW33" s="190"/>
      <c r="BX33" s="190"/>
      <c r="BY33" s="190"/>
      <c r="BZ33" s="190"/>
      <c r="CA33" s="190"/>
      <c r="CB33" s="190"/>
      <c r="CC33" s="190"/>
      <c r="CD33" s="190"/>
      <c r="CF33" s="620"/>
      <c r="CG33" s="530"/>
      <c r="CH33" s="660"/>
      <c r="CI33" s="681"/>
      <c r="CJ33" s="660"/>
      <c r="CK33" s="660"/>
      <c r="CL33" s="660"/>
      <c r="CM33" s="660"/>
      <c r="CN33" s="660"/>
      <c r="CO33" s="660"/>
      <c r="CP33" s="660"/>
      <c r="CQ33" s="660"/>
      <c r="CS33" s="620"/>
      <c r="CT33" s="530"/>
      <c r="DD33" s="190"/>
      <c r="DE33" s="620"/>
      <c r="DF33" s="530"/>
      <c r="DI33" s="655" t="s">
        <v>414</v>
      </c>
      <c r="DJ33" s="655">
        <v>8</v>
      </c>
      <c r="DK33" s="655"/>
      <c r="DL33" s="655">
        <v>7</v>
      </c>
      <c r="DM33" s="655"/>
      <c r="DN33" s="655">
        <v>4</v>
      </c>
      <c r="DO33" s="655"/>
      <c r="DP33" s="655"/>
      <c r="DQ33" s="655"/>
      <c r="DR33" s="655">
        <v>4</v>
      </c>
      <c r="DT33" s="620"/>
      <c r="DU33" s="530"/>
      <c r="DX33" s="655" t="s">
        <v>414</v>
      </c>
      <c r="DY33" s="655">
        <v>7</v>
      </c>
      <c r="DZ33" s="655"/>
      <c r="EA33" s="655">
        <v>4</v>
      </c>
      <c r="EB33" s="660"/>
      <c r="EC33" s="620"/>
      <c r="ED33" s="530"/>
      <c r="EK33" s="620"/>
      <c r="EL33" s="530"/>
      <c r="EM33" s="705"/>
      <c r="EN33" s="705"/>
      <c r="EO33" s="705" t="s">
        <v>414</v>
      </c>
      <c r="EP33" s="743">
        <v>4</v>
      </c>
      <c r="EQ33" s="743"/>
      <c r="ER33" s="743">
        <v>8</v>
      </c>
      <c r="ES33" s="743"/>
      <c r="ET33" s="743">
        <v>4</v>
      </c>
      <c r="EU33" s="744"/>
      <c r="EV33" s="743"/>
      <c r="EW33" s="743"/>
      <c r="EX33" s="743">
        <v>4</v>
      </c>
      <c r="EZ33" s="620"/>
      <c r="FA33" s="530"/>
      <c r="FF33" s="620"/>
      <c r="FG33" s="530"/>
      <c r="FS33" s="948" t="s">
        <v>414</v>
      </c>
      <c r="FT33" s="655">
        <v>8</v>
      </c>
      <c r="FU33" s="655">
        <v>7</v>
      </c>
      <c r="FV33" s="655">
        <v>7</v>
      </c>
      <c r="FW33" s="655">
        <v>9</v>
      </c>
      <c r="FX33" s="655">
        <v>4</v>
      </c>
      <c r="FY33" s="655"/>
      <c r="FZ33" s="655">
        <v>4</v>
      </c>
      <c r="GA33" s="655"/>
      <c r="GB33" s="655">
        <v>4</v>
      </c>
      <c r="HZ33" s="620"/>
      <c r="IA33" s="530"/>
      <c r="IP33" s="530"/>
      <c r="JF33" s="660"/>
      <c r="JG33" s="660"/>
      <c r="JH33" s="660"/>
      <c r="JI33" s="660"/>
      <c r="JJ33" s="660"/>
      <c r="JK33" s="660"/>
      <c r="JL33" s="660"/>
      <c r="JM33" s="660"/>
      <c r="JN33" s="660"/>
      <c r="JO33" s="660"/>
    </row>
    <row r="34" spans="7:275" ht="16.5" x14ac:dyDescent="0.3">
      <c r="G34" s="620"/>
      <c r="H34" s="530"/>
      <c r="K34" s="627" t="s">
        <v>414</v>
      </c>
      <c r="L34" s="630">
        <v>3</v>
      </c>
      <c r="M34" s="630"/>
      <c r="N34" s="630"/>
      <c r="O34" s="630"/>
      <c r="P34" s="630"/>
      <c r="Q34" s="630">
        <v>4</v>
      </c>
      <c r="S34" s="620"/>
      <c r="T34" s="530"/>
      <c r="AA34" s="620"/>
      <c r="AB34" s="530"/>
      <c r="AH34" s="620"/>
      <c r="AI34" s="530"/>
      <c r="AJ34" s="530"/>
      <c r="AK34" s="530"/>
      <c r="AL34" s="530"/>
      <c r="BB34" s="620"/>
      <c r="BC34" s="530"/>
      <c r="BD34" s="530"/>
      <c r="BE34" s="530"/>
      <c r="BF34" s="530"/>
      <c r="BG34" s="530"/>
      <c r="BI34" s="620"/>
      <c r="BJ34" s="530"/>
      <c r="BM34" s="706" t="s">
        <v>421</v>
      </c>
      <c r="BN34" s="706"/>
      <c r="BO34" s="706"/>
      <c r="BP34" s="706"/>
      <c r="BQ34" s="706"/>
      <c r="BR34" s="705"/>
      <c r="BS34" s="705"/>
      <c r="BU34" s="620"/>
      <c r="BV34" s="623"/>
      <c r="BW34" s="190"/>
      <c r="BX34" s="190"/>
      <c r="BY34" s="190"/>
      <c r="BZ34" s="190"/>
      <c r="CA34" s="190"/>
      <c r="CB34" s="190"/>
      <c r="CC34" s="190"/>
      <c r="CD34" s="190"/>
      <c r="CF34" s="620"/>
      <c r="CG34" s="530"/>
      <c r="CS34" s="620"/>
      <c r="CT34" s="530"/>
      <c r="DD34" s="190"/>
      <c r="DE34" s="620"/>
      <c r="DF34" s="530"/>
      <c r="DI34" s="660"/>
      <c r="DJ34" s="660"/>
      <c r="DK34" s="660"/>
      <c r="DL34" s="660"/>
      <c r="DM34" s="660"/>
      <c r="DN34" s="660"/>
      <c r="DO34" s="660"/>
      <c r="DP34" s="660"/>
      <c r="DQ34" s="660"/>
      <c r="DR34" s="660"/>
      <c r="DT34" s="620"/>
      <c r="DU34" s="530"/>
      <c r="DX34" s="660"/>
      <c r="DY34" s="660"/>
      <c r="DZ34" s="660"/>
      <c r="EA34" s="660"/>
      <c r="EB34" s="660"/>
      <c r="EC34" s="620"/>
      <c r="ED34" s="530"/>
      <c r="EK34" s="620"/>
      <c r="EL34" s="530"/>
      <c r="EM34" s="660"/>
      <c r="EN34" s="660"/>
      <c r="EO34" s="660"/>
      <c r="EP34" s="660"/>
      <c r="EQ34" s="660"/>
      <c r="ER34" s="660"/>
      <c r="ES34" s="660"/>
      <c r="ET34" s="660"/>
      <c r="EU34" s="660"/>
      <c r="EV34" s="660"/>
      <c r="EW34" s="660"/>
      <c r="EX34" s="660"/>
      <c r="EZ34" s="620"/>
      <c r="FA34" s="530"/>
      <c r="FF34" s="620"/>
      <c r="FG34" s="530"/>
      <c r="FS34" s="655" t="s">
        <v>421</v>
      </c>
      <c r="FT34" s="655">
        <v>1</v>
      </c>
      <c r="FU34" s="655">
        <f t="shared" ref="FU34:GB34" si="137">+FT34+1</f>
        <v>2</v>
      </c>
      <c r="FV34" s="655">
        <f t="shared" si="137"/>
        <v>3</v>
      </c>
      <c r="FW34" s="655">
        <f t="shared" si="137"/>
        <v>4</v>
      </c>
      <c r="FX34" s="655">
        <f t="shared" si="137"/>
        <v>5</v>
      </c>
      <c r="FY34" s="655">
        <v>9</v>
      </c>
      <c r="FZ34" s="655">
        <f t="shared" si="137"/>
        <v>10</v>
      </c>
      <c r="GA34" s="655">
        <f t="shared" si="137"/>
        <v>11</v>
      </c>
      <c r="GB34" s="655">
        <f t="shared" si="137"/>
        <v>12</v>
      </c>
      <c r="GW34" s="780" t="s">
        <v>420</v>
      </c>
      <c r="GX34" s="782">
        <v>4</v>
      </c>
      <c r="GY34" s="782">
        <v>10</v>
      </c>
      <c r="GZ34" s="782">
        <v>11</v>
      </c>
      <c r="HA34" s="782"/>
      <c r="HB34" s="782"/>
      <c r="HC34" s="782"/>
      <c r="HD34" s="209"/>
      <c r="HG34" s="209"/>
      <c r="HH34" s="209"/>
      <c r="HI34" s="209"/>
      <c r="HJ34" s="209"/>
      <c r="HK34" s="209"/>
      <c r="HL34" s="209"/>
      <c r="HM34" s="209"/>
      <c r="HU34" s="465"/>
      <c r="HZ34" s="620"/>
      <c r="IA34" s="530"/>
      <c r="IP34" s="530"/>
      <c r="JF34" s="660"/>
      <c r="JG34" s="660"/>
      <c r="JH34" s="660"/>
      <c r="JI34" s="660"/>
      <c r="JJ34" s="660"/>
      <c r="JK34" s="660"/>
      <c r="JL34" s="660"/>
      <c r="JM34" s="660"/>
      <c r="JN34" s="660"/>
      <c r="JO34" s="660"/>
    </row>
    <row r="35" spans="7:275" ht="16.5" x14ac:dyDescent="0.3">
      <c r="G35" s="620"/>
      <c r="H35" s="530"/>
      <c r="L35" s="209"/>
      <c r="M35" s="209"/>
      <c r="N35" s="209"/>
      <c r="O35" s="209"/>
      <c r="P35" s="209"/>
      <c r="Q35" s="209"/>
      <c r="S35" s="620"/>
      <c r="T35" s="530"/>
      <c r="AA35" s="620"/>
      <c r="AB35" s="530"/>
      <c r="AH35" s="620"/>
      <c r="AI35" s="530"/>
      <c r="AJ35" s="530"/>
      <c r="AK35" s="530"/>
      <c r="AL35" s="530"/>
      <c r="BB35" s="620"/>
      <c r="BC35" s="530"/>
      <c r="BI35" s="620"/>
      <c r="BJ35" s="530"/>
      <c r="BM35" s="660"/>
      <c r="BN35" s="660"/>
      <c r="BO35" s="660"/>
      <c r="BP35" s="660"/>
      <c r="BQ35" s="660"/>
      <c r="BR35" s="660"/>
      <c r="BS35" s="660"/>
      <c r="BU35" s="620"/>
      <c r="BV35" s="623"/>
      <c r="BW35" s="190"/>
      <c r="BX35" s="190"/>
      <c r="BY35" s="190"/>
      <c r="BZ35" s="190"/>
      <c r="CA35" s="190"/>
      <c r="CB35" s="190"/>
      <c r="CC35" s="190"/>
      <c r="CD35" s="190"/>
      <c r="CF35" s="620"/>
      <c r="CG35" s="530"/>
      <c r="CS35" s="620"/>
      <c r="CT35" s="530"/>
      <c r="DD35" s="190"/>
      <c r="DE35" s="620"/>
      <c r="DT35" s="620"/>
      <c r="EC35" s="620"/>
      <c r="ED35" s="530"/>
      <c r="EK35" s="620"/>
      <c r="EL35" s="530"/>
      <c r="EZ35" s="620"/>
      <c r="FA35" s="530"/>
      <c r="FF35" s="620"/>
      <c r="GW35" s="706" t="s">
        <v>415</v>
      </c>
      <c r="GX35" s="782">
        <v>2</v>
      </c>
      <c r="GY35" s="782">
        <f>GX35+1</f>
        <v>3</v>
      </c>
      <c r="GZ35" s="782">
        <f t="shared" ref="GZ35:HC35" si="138">GY35+1</f>
        <v>4</v>
      </c>
      <c r="HA35" s="782">
        <f t="shared" si="138"/>
        <v>5</v>
      </c>
      <c r="HB35" s="782">
        <f t="shared" si="138"/>
        <v>6</v>
      </c>
      <c r="HC35" s="782">
        <f t="shared" si="138"/>
        <v>7</v>
      </c>
      <c r="HD35" s="209"/>
      <c r="HG35" s="209"/>
      <c r="HH35" s="209"/>
      <c r="HI35" s="209"/>
      <c r="HJ35" s="209"/>
      <c r="HK35" s="209"/>
      <c r="HL35" s="209"/>
      <c r="HM35" s="209"/>
      <c r="HU35" s="236"/>
      <c r="HZ35" s="620"/>
      <c r="IA35" s="530"/>
      <c r="IP35" s="530"/>
    </row>
    <row r="36" spans="7:275" x14ac:dyDescent="0.25">
      <c r="L36" s="209"/>
      <c r="M36" s="209"/>
      <c r="N36" s="209"/>
      <c r="O36" s="209"/>
      <c r="P36" s="209"/>
      <c r="Q36" s="209"/>
      <c r="AM36" s="631"/>
      <c r="AN36" s="632"/>
      <c r="BV36" s="190"/>
      <c r="BW36" s="190"/>
      <c r="BX36" s="190"/>
      <c r="BY36" s="190"/>
      <c r="BZ36" s="190"/>
      <c r="CA36" s="190"/>
      <c r="CB36" s="190"/>
      <c r="CC36" s="190"/>
      <c r="CD36" s="190"/>
      <c r="CG36" s="530"/>
      <c r="DD36" s="190"/>
    </row>
    <row r="37" spans="7:275" x14ac:dyDescent="0.25">
      <c r="BV37" s="190"/>
      <c r="BW37" s="190"/>
      <c r="BX37" s="190"/>
      <c r="BY37" s="190"/>
      <c r="BZ37" s="190"/>
      <c r="CA37" s="190"/>
      <c r="CB37" s="190"/>
      <c r="CC37" s="190"/>
      <c r="CD37" s="190"/>
      <c r="DD37" s="190"/>
    </row>
    <row r="38" spans="7:275" x14ac:dyDescent="0.25">
      <c r="BV38" s="190"/>
      <c r="BW38" s="190"/>
      <c r="BX38" s="190"/>
      <c r="BY38" s="190"/>
      <c r="BZ38" s="190"/>
      <c r="CA38" s="190"/>
      <c r="CB38" s="190"/>
      <c r="CC38" s="190"/>
      <c r="CD38" s="190"/>
      <c r="DD38" s="190"/>
    </row>
    <row r="39" spans="7:275" x14ac:dyDescent="0.25">
      <c r="BV39" s="190"/>
      <c r="BW39" s="190"/>
      <c r="BX39" s="190"/>
      <c r="BY39" s="190"/>
      <c r="BZ39" s="190"/>
      <c r="CA39" s="190"/>
      <c r="CB39" s="190"/>
      <c r="CC39" s="190"/>
      <c r="CD39" s="190"/>
      <c r="DD39" s="190"/>
    </row>
    <row r="40" spans="7:275" x14ac:dyDescent="0.25">
      <c r="BV40" s="190"/>
      <c r="BW40" s="190"/>
      <c r="BX40" s="190"/>
      <c r="BY40" s="190"/>
      <c r="BZ40" s="190"/>
      <c r="CA40" s="190"/>
      <c r="CB40" s="190"/>
      <c r="CC40" s="190"/>
      <c r="CD40" s="190"/>
      <c r="DD40" s="190"/>
    </row>
    <row r="41" spans="7:275" x14ac:dyDescent="0.25">
      <c r="BV41" s="190"/>
      <c r="BW41" s="190"/>
      <c r="BX41" s="190"/>
      <c r="BY41" s="190"/>
      <c r="BZ41" s="190"/>
      <c r="CA41" s="190"/>
      <c r="CB41" s="190"/>
      <c r="CC41" s="190"/>
      <c r="CD41" s="190"/>
      <c r="DD41" s="190"/>
    </row>
    <row r="42" spans="7:275" x14ac:dyDescent="0.25">
      <c r="BV42" s="190"/>
      <c r="BW42" s="190"/>
      <c r="BX42" s="190"/>
      <c r="BY42" s="190"/>
      <c r="BZ42" s="190"/>
      <c r="CA42" s="190"/>
      <c r="CB42" s="190"/>
      <c r="CC42" s="190"/>
      <c r="CD42" s="190"/>
      <c r="DD42" s="190"/>
    </row>
    <row r="43" spans="7:275" x14ac:dyDescent="0.25">
      <c r="BV43" s="190"/>
      <c r="BW43" s="190"/>
      <c r="BX43" s="190"/>
      <c r="BY43" s="190"/>
      <c r="BZ43" s="190"/>
      <c r="CA43" s="190"/>
      <c r="CB43" s="190"/>
      <c r="CC43" s="190"/>
      <c r="CD43" s="190"/>
      <c r="DD43" s="190"/>
    </row>
    <row r="44" spans="7:275" x14ac:dyDescent="0.25">
      <c r="BV44" s="190"/>
      <c r="BW44" s="190"/>
      <c r="BX44" s="190"/>
      <c r="BY44" s="190"/>
      <c r="BZ44" s="190"/>
      <c r="CA44" s="190"/>
      <c r="CB44" s="190"/>
      <c r="CC44" s="190"/>
      <c r="CD44" s="190"/>
      <c r="DD44" s="190"/>
    </row>
    <row r="45" spans="7:275" x14ac:dyDescent="0.25">
      <c r="BV45" s="190"/>
      <c r="BW45" s="190"/>
      <c r="BX45" s="190"/>
      <c r="BY45" s="190"/>
      <c r="BZ45" s="190"/>
      <c r="CA45" s="190"/>
      <c r="CB45" s="190"/>
      <c r="CC45" s="190"/>
      <c r="CD45" s="190"/>
      <c r="DD45" s="190"/>
    </row>
    <row r="46" spans="7:275" x14ac:dyDescent="0.25">
      <c r="BV46" s="190"/>
      <c r="BW46" s="190"/>
      <c r="BX46" s="190"/>
      <c r="BY46" s="190"/>
      <c r="BZ46" s="190"/>
      <c r="CA46" s="190"/>
      <c r="CB46" s="190"/>
      <c r="CC46" s="190"/>
      <c r="CD46" s="190"/>
      <c r="DD46" s="190"/>
    </row>
    <row r="47" spans="7:275" x14ac:dyDescent="0.25">
      <c r="BV47" s="190"/>
      <c r="BW47" s="190"/>
      <c r="BX47" s="190"/>
      <c r="BY47" s="190"/>
      <c r="BZ47" s="190"/>
      <c r="CA47" s="190"/>
      <c r="CB47" s="190"/>
      <c r="CC47" s="190"/>
      <c r="CD47" s="190"/>
      <c r="DD47" s="190"/>
    </row>
    <row r="48" spans="7:275" x14ac:dyDescent="0.25">
      <c r="BV48" s="190"/>
      <c r="BW48" s="190"/>
      <c r="BX48" s="190"/>
      <c r="BY48" s="190"/>
      <c r="BZ48" s="190"/>
      <c r="CA48" s="190"/>
      <c r="CB48" s="190"/>
      <c r="CC48" s="190"/>
      <c r="CD48" s="190"/>
      <c r="DD48" s="190"/>
    </row>
    <row r="49" spans="74:108" x14ac:dyDescent="0.25">
      <c r="BV49" s="190"/>
      <c r="BW49" s="190"/>
      <c r="BX49" s="190"/>
      <c r="BY49" s="190"/>
      <c r="BZ49" s="190"/>
      <c r="CA49" s="190"/>
      <c r="CB49" s="190"/>
      <c r="CC49" s="190"/>
      <c r="CD49" s="190"/>
      <c r="DD49" s="190"/>
    </row>
    <row r="50" spans="74:108" x14ac:dyDescent="0.25">
      <c r="BV50" s="190"/>
      <c r="BW50" s="190"/>
      <c r="BX50" s="190"/>
      <c r="BY50" s="190"/>
      <c r="BZ50" s="190"/>
      <c r="CA50" s="190"/>
      <c r="CB50" s="190"/>
      <c r="CC50" s="190"/>
      <c r="CD50" s="190"/>
      <c r="DD50" s="190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BD1:BG1"/>
    <mergeCell ref="BK1:BS1"/>
    <mergeCell ref="BW1:CD1"/>
    <mergeCell ref="CH1:CQ1"/>
    <mergeCell ref="CU1:DC1"/>
    <mergeCell ref="DG1:DR1"/>
    <mergeCell ref="A1:E1"/>
    <mergeCell ref="I1:Q1"/>
    <mergeCell ref="U1:Y1"/>
    <mergeCell ref="AC1:AF1"/>
    <mergeCell ref="AJ1:AL1"/>
    <mergeCell ref="AP1:AZ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A804-9AC0-4E7E-855D-2D1C453718A9}">
  <sheetPr>
    <tabColor theme="6"/>
    <pageSetUpPr fitToPage="1"/>
  </sheetPr>
  <dimension ref="A1:OO54"/>
  <sheetViews>
    <sheetView zoomScale="80" zoomScaleNormal="80" workbookViewId="0">
      <selection activeCell="O32" sqref="O32"/>
    </sheetView>
  </sheetViews>
  <sheetFormatPr defaultColWidth="9.85546875" defaultRowHeight="15" x14ac:dyDescent="0.25"/>
  <cols>
    <col min="1" max="1" width="1.140625" style="12" customWidth="1"/>
    <col min="2" max="2" width="3.85546875" style="12" customWidth="1"/>
    <col min="3" max="4" width="2.28515625" style="12" customWidth="1"/>
    <col min="5" max="5" width="31.5703125" style="12" customWidth="1"/>
    <col min="6" max="6" width="18.140625" style="12" customWidth="1"/>
    <col min="7" max="7" width="11.5703125" style="12" customWidth="1"/>
    <col min="8" max="8" width="17" style="12" customWidth="1"/>
    <col min="9" max="9" width="11.42578125" style="12" customWidth="1"/>
    <col min="10" max="11" width="16.42578125" style="12" customWidth="1"/>
    <col min="12" max="12" width="11" style="12" customWidth="1"/>
    <col min="13" max="13" width="15.85546875" style="12" customWidth="1"/>
    <col min="14" max="14" width="17" style="12" customWidth="1"/>
    <col min="15" max="15" width="11.42578125" style="12" customWidth="1"/>
    <col min="16" max="16" width="17.5703125" style="12" customWidth="1"/>
    <col min="17" max="18" width="16.42578125" style="12" customWidth="1"/>
    <col min="19" max="19" width="6.5703125" style="12" customWidth="1"/>
    <col min="20" max="20" width="6.5703125" style="13" customWidth="1"/>
    <col min="21" max="21" width="6.5703125" style="12" customWidth="1"/>
    <col min="22" max="22" width="4.42578125" style="12" customWidth="1"/>
    <col min="23" max="23" width="59" style="12" customWidth="1"/>
    <col min="24" max="27" width="14.140625" style="12" customWidth="1"/>
    <col min="28" max="28" width="2.85546875" style="12" customWidth="1"/>
    <col min="29" max="29" width="5.5703125" style="12" customWidth="1"/>
    <col min="30" max="30" width="6" style="13" customWidth="1"/>
    <col min="31" max="31" width="6" style="12" customWidth="1"/>
    <col min="32" max="32" width="4.42578125" style="12" customWidth="1"/>
    <col min="33" max="33" width="25.7109375" style="12" customWidth="1"/>
    <col min="34" max="36" width="19.140625" style="12" customWidth="1"/>
    <col min="37" max="37" width="6.5703125" style="12" customWidth="1"/>
    <col min="38" max="38" width="3.85546875" style="13" customWidth="1"/>
    <col min="39" max="39" width="2.28515625" style="12" customWidth="1"/>
    <col min="40" max="40" width="3.85546875" style="12" customWidth="1"/>
    <col min="41" max="42" width="2.28515625" style="12" customWidth="1"/>
    <col min="43" max="43" width="23.7109375" style="12" customWidth="1"/>
    <col min="44" max="44" width="2.42578125" style="12" customWidth="1"/>
    <col min="45" max="45" width="15.85546875" style="12" hidden="1" customWidth="1"/>
    <col min="46" max="46" width="16.42578125" style="12" hidden="1" customWidth="1"/>
    <col min="47" max="47" width="2.28515625" style="12" hidden="1" customWidth="1"/>
    <col min="48" max="48" width="14.7109375" style="12" hidden="1" customWidth="1"/>
    <col min="49" max="49" width="15.85546875" style="12" hidden="1" customWidth="1"/>
    <col min="50" max="50" width="11.5703125" style="12" hidden="1" customWidth="1"/>
    <col min="51" max="51" width="1.7109375" style="12" hidden="1" customWidth="1"/>
    <col min="52" max="52" width="14.7109375" style="12" hidden="1" customWidth="1"/>
    <col min="53" max="53" width="15.85546875" style="12" hidden="1" customWidth="1"/>
    <col min="54" max="54" width="11.5703125" style="12" hidden="1" customWidth="1"/>
    <col min="55" max="55" width="2.28515625" style="12" hidden="1" customWidth="1"/>
    <col min="56" max="56" width="14.7109375" style="12" hidden="1" customWidth="1"/>
    <col min="57" max="57" width="15.85546875" style="12" hidden="1" customWidth="1"/>
    <col min="58" max="58" width="11.5703125" style="12" hidden="1" customWidth="1"/>
    <col min="59" max="59" width="2.28515625" style="12" hidden="1" customWidth="1"/>
    <col min="60" max="60" width="14.7109375" style="12" hidden="1" customWidth="1"/>
    <col min="61" max="61" width="15.85546875" style="12" hidden="1" customWidth="1"/>
    <col min="62" max="62" width="11.5703125" style="12" hidden="1" customWidth="1"/>
    <col min="63" max="63" width="1.7109375" style="12" hidden="1" customWidth="1"/>
    <col min="64" max="64" width="14.7109375" style="12" hidden="1" customWidth="1"/>
    <col min="65" max="65" width="15.85546875" style="12" hidden="1" customWidth="1"/>
    <col min="66" max="66" width="11.5703125" style="12" hidden="1" customWidth="1"/>
    <col min="67" max="67" width="1.7109375" style="12" hidden="1" customWidth="1"/>
    <col min="68" max="68" width="14.7109375" style="12" hidden="1" customWidth="1"/>
    <col min="69" max="69" width="15.85546875" style="12" hidden="1" customWidth="1"/>
    <col min="70" max="70" width="11.5703125" style="12" hidden="1" customWidth="1"/>
    <col min="71" max="71" width="1.7109375" style="12" hidden="1" customWidth="1"/>
    <col min="72" max="72" width="17.5703125" style="12" hidden="1" customWidth="1"/>
    <col min="73" max="80" width="15.85546875" style="12" hidden="1" customWidth="1"/>
    <col min="81" max="81" width="15.85546875" style="12" customWidth="1"/>
    <col min="82" max="82" width="14.7109375" style="12" customWidth="1"/>
    <col min="83" max="83" width="15.85546875" style="12" hidden="1" customWidth="1"/>
    <col min="84" max="84" width="17.5703125" style="12" customWidth="1"/>
    <col min="85" max="85" width="14.42578125" style="12" customWidth="1"/>
    <col min="86" max="86" width="10.5703125" style="12" bestFit="1" customWidth="1"/>
    <col min="87" max="87" width="13.5703125" style="12" customWidth="1"/>
    <col min="88" max="88" width="12.5703125" style="12" bestFit="1" customWidth="1"/>
    <col min="89" max="89" width="9.85546875" style="12" customWidth="1"/>
    <col min="90" max="90" width="2.85546875" style="13" customWidth="1"/>
    <col min="91" max="91" width="2.85546875" style="12" customWidth="1"/>
    <col min="92" max="92" width="4.42578125" style="12" customWidth="1"/>
    <col min="93" max="93" width="16.42578125" style="12" customWidth="1"/>
    <col min="94" max="94" width="14.85546875" style="12" customWidth="1"/>
    <col min="95" max="95" width="16.42578125" style="12" bestFit="1" customWidth="1"/>
    <col min="96" max="96" width="14.85546875" style="12" customWidth="1"/>
    <col min="97" max="97" width="16.7109375" style="12" bestFit="1" customWidth="1"/>
    <col min="98" max="98" width="14.85546875" style="12" customWidth="1"/>
    <col min="99" max="99" width="16.7109375" style="12" customWidth="1"/>
    <col min="100" max="100" width="14.85546875" style="12" customWidth="1"/>
    <col min="101" max="101" width="16.7109375" style="12" bestFit="1" customWidth="1"/>
    <col min="102" max="102" width="2.85546875" style="12" customWidth="1"/>
    <col min="103" max="103" width="2.85546875" style="13" customWidth="1"/>
    <col min="104" max="104" width="2.85546875" style="12" customWidth="1"/>
    <col min="105" max="105" width="5" style="12" customWidth="1"/>
    <col min="106" max="106" width="16.42578125" style="12" customWidth="1"/>
    <col min="107" max="107" width="15.85546875" style="12" customWidth="1"/>
    <col min="108" max="108" width="15.85546875" style="16" customWidth="1"/>
    <col min="109" max="110" width="15.85546875" style="12" customWidth="1"/>
    <col min="111" max="111" width="19.140625" style="12" customWidth="1"/>
    <col min="112" max="112" width="2.85546875" style="12" customWidth="1"/>
    <col min="113" max="113" width="2.85546875" style="13" customWidth="1"/>
    <col min="114" max="114" width="2.85546875" style="12" customWidth="1"/>
    <col min="115" max="115" width="5" style="12" customWidth="1"/>
    <col min="116" max="116" width="14.85546875" style="12" customWidth="1"/>
    <col min="117" max="117" width="17" style="12" customWidth="1"/>
    <col min="118" max="118" width="17" style="16" customWidth="1"/>
    <col min="119" max="120" width="17" style="12" customWidth="1"/>
    <col min="121" max="121" width="2.85546875" style="12" customWidth="1"/>
    <col min="122" max="122" width="2.85546875" style="13" customWidth="1"/>
    <col min="123" max="123" width="2.28515625" style="12" customWidth="1"/>
    <col min="124" max="124" width="5" style="12" customWidth="1"/>
    <col min="125" max="125" width="33.28515625" style="17" customWidth="1"/>
    <col min="126" max="126" width="14.85546875" style="18" customWidth="1"/>
    <col min="127" max="127" width="15.85546875" style="18" customWidth="1"/>
    <col min="128" max="128" width="15.85546875" style="18" bestFit="1" customWidth="1"/>
    <col min="129" max="129" width="16.42578125" style="18" bestFit="1" customWidth="1"/>
    <col min="130" max="131" width="14.85546875" style="12" customWidth="1"/>
    <col min="132" max="133" width="16.42578125" style="12" bestFit="1" customWidth="1"/>
    <col min="134" max="134" width="2.85546875" style="12" customWidth="1"/>
    <col min="135" max="135" width="2.85546875" style="13" customWidth="1"/>
    <col min="136" max="136" width="2.85546875" style="12" customWidth="1"/>
    <col min="137" max="137" width="5" style="12" customWidth="1"/>
    <col min="138" max="138" width="16.42578125" style="12" customWidth="1"/>
    <col min="139" max="146" width="14.85546875" style="12" customWidth="1"/>
    <col min="147" max="147" width="2.85546875" style="12" customWidth="1"/>
    <col min="148" max="148" width="2.85546875" style="13" customWidth="1"/>
    <col min="149" max="149" width="2.85546875" style="12" customWidth="1"/>
    <col min="150" max="150" width="4.42578125" style="12" customWidth="1"/>
    <col min="151" max="151" width="15.85546875" style="12" customWidth="1"/>
    <col min="152" max="153" width="14.85546875" style="12" bestFit="1" customWidth="1"/>
    <col min="154" max="154" width="14" style="12" bestFit="1" customWidth="1"/>
    <col min="155" max="155" width="14.85546875" style="12" bestFit="1" customWidth="1"/>
    <col min="156" max="156" width="13.7109375" style="12" customWidth="1"/>
    <col min="157" max="158" width="14.85546875" style="12" bestFit="1" customWidth="1"/>
    <col min="159" max="159" width="15.140625" style="12" bestFit="1" customWidth="1"/>
    <col min="160" max="160" width="15.85546875" style="12" customWidth="1"/>
    <col min="161" max="161" width="21" style="12" customWidth="1"/>
    <col min="162" max="162" width="15.85546875" style="12" customWidth="1"/>
    <col min="163" max="163" width="2.85546875" style="12" customWidth="1"/>
    <col min="164" max="164" width="2.85546875" style="13" customWidth="1"/>
    <col min="165" max="165" width="2.85546875" style="12" customWidth="1"/>
    <col min="166" max="166" width="5" style="12" customWidth="1"/>
    <col min="167" max="167" width="1.140625" style="12" customWidth="1"/>
    <col min="168" max="168" width="36.5703125" style="12" customWidth="1"/>
    <col min="169" max="170" width="14.85546875" style="12" bestFit="1" customWidth="1"/>
    <col min="171" max="171" width="15.140625" style="12" bestFit="1" customWidth="1"/>
    <col min="172" max="172" width="16.42578125" style="12" bestFit="1" customWidth="1"/>
    <col min="173" max="173" width="14.28515625" style="12" bestFit="1" customWidth="1"/>
    <col min="174" max="175" width="15.140625" style="12" bestFit="1" customWidth="1"/>
    <col min="176" max="176" width="14.85546875" style="12" bestFit="1" customWidth="1"/>
    <col min="177" max="177" width="20.28515625" style="12" customWidth="1"/>
    <col min="178" max="178" width="2.85546875" style="12" customWidth="1"/>
    <col min="179" max="179" width="2.85546875" style="13" customWidth="1"/>
    <col min="180" max="180" width="2.85546875" style="12" customWidth="1"/>
    <col min="181" max="181" width="9.85546875" style="12" customWidth="1"/>
    <col min="182" max="182" width="26.28515625" style="12" customWidth="1"/>
    <col min="183" max="183" width="12.85546875" style="12" bestFit="1" customWidth="1"/>
    <col min="184" max="184" width="12.5703125" style="12" bestFit="1" customWidth="1"/>
    <col min="185" max="185" width="14.28515625" style="12" bestFit="1" customWidth="1"/>
    <col min="186" max="186" width="15.140625" style="12" bestFit="1" customWidth="1"/>
    <col min="187" max="187" width="11" style="12" bestFit="1" customWidth="1"/>
    <col min="188" max="188" width="11.7109375" style="12" customWidth="1"/>
    <col min="189" max="189" width="12.140625" style="12" bestFit="1" customWidth="1"/>
    <col min="190" max="190" width="12.5703125" style="12" bestFit="1" customWidth="1"/>
    <col min="191" max="191" width="2.85546875" style="12" customWidth="1"/>
    <col min="192" max="192" width="2.85546875" style="13" customWidth="1"/>
    <col min="193" max="193" width="2.85546875" style="12" customWidth="1"/>
    <col min="194" max="194" width="5" style="12" customWidth="1"/>
    <col min="195" max="195" width="15.85546875" style="12" customWidth="1"/>
    <col min="196" max="198" width="16.42578125" style="12" customWidth="1"/>
    <col min="199" max="199" width="18.42578125" style="12" bestFit="1" customWidth="1"/>
    <col min="200" max="203" width="16.42578125" style="12" customWidth="1"/>
    <col min="204" max="204" width="2.85546875" style="12" customWidth="1"/>
    <col min="205" max="205" width="2.85546875" style="13" customWidth="1"/>
    <col min="206" max="206" width="2.85546875" style="12" customWidth="1"/>
    <col min="207" max="207" width="2.7109375" style="12" customWidth="1"/>
    <col min="208" max="208" width="5.42578125" style="12" customWidth="1"/>
    <col min="209" max="209" width="8.85546875" style="12" bestFit="1" customWidth="1"/>
    <col min="210" max="210" width="15" style="12" bestFit="1" customWidth="1"/>
    <col min="211" max="211" width="14.42578125" style="12" bestFit="1" customWidth="1"/>
    <col min="212" max="213" width="21.85546875" style="12" bestFit="1" customWidth="1"/>
    <col min="214" max="214" width="8.140625" style="12" bestFit="1" customWidth="1"/>
    <col min="215" max="215" width="9.5703125" style="12" bestFit="1" customWidth="1"/>
    <col min="216" max="218" width="9.85546875" style="12" bestFit="1" customWidth="1"/>
    <col min="219" max="219" width="3.85546875" style="12" customWidth="1"/>
    <col min="220" max="220" width="3.85546875" style="13" customWidth="1"/>
    <col min="221" max="221" width="3.85546875" style="12" customWidth="1"/>
    <col min="222" max="222" width="5" style="12" customWidth="1"/>
    <col min="223" max="223" width="10.85546875" style="12" customWidth="1"/>
    <col min="224" max="224" width="11.28515625" style="12" customWidth="1"/>
    <col min="225" max="225" width="18.42578125" style="12" customWidth="1"/>
    <col min="226" max="226" width="14.42578125" style="12" bestFit="1" customWidth="1"/>
    <col min="227" max="227" width="17.85546875" style="12" bestFit="1" customWidth="1"/>
    <col min="228" max="228" width="18.140625" style="12" bestFit="1" customWidth="1"/>
    <col min="229" max="229" width="16.7109375" style="12" bestFit="1" customWidth="1"/>
    <col min="230" max="230" width="15.85546875" style="12" bestFit="1" customWidth="1"/>
    <col min="231" max="232" width="14.85546875" style="12" customWidth="1"/>
    <col min="233" max="233" width="15.5703125" style="12" bestFit="1" customWidth="1"/>
    <col min="234" max="234" width="14.7109375" style="12" bestFit="1" customWidth="1"/>
    <col min="235" max="235" width="3.85546875" style="12" customWidth="1"/>
    <col min="236" max="236" width="3.85546875" style="13" customWidth="1"/>
    <col min="237" max="237" width="3.85546875" style="12" customWidth="1"/>
    <col min="238" max="238" width="5" style="12" customWidth="1"/>
    <col min="239" max="239" width="15.42578125" style="12" customWidth="1"/>
    <col min="240" max="240" width="8.140625" style="12" customWidth="1"/>
    <col min="241" max="241" width="9.85546875" style="12" customWidth="1"/>
    <col min="242" max="243" width="16.7109375" style="12" bestFit="1" customWidth="1"/>
    <col min="244" max="244" width="14.85546875" style="12" bestFit="1" customWidth="1"/>
    <col min="245" max="245" width="14.85546875" style="411" bestFit="1" customWidth="1"/>
    <col min="246" max="246" width="16.42578125" style="12" bestFit="1" customWidth="1"/>
    <col min="247" max="247" width="15.42578125" style="411" bestFit="1" customWidth="1"/>
    <col min="248" max="248" width="16.42578125" style="12" bestFit="1" customWidth="1"/>
    <col min="249" max="249" width="15.85546875" style="12" bestFit="1" customWidth="1"/>
    <col min="250" max="250" width="15.140625" style="12" bestFit="1" customWidth="1"/>
    <col min="251" max="251" width="14.28515625" style="12" bestFit="1" customWidth="1"/>
    <col min="252" max="253" width="14.85546875" style="12" bestFit="1" customWidth="1"/>
    <col min="254" max="255" width="15.140625" style="12" bestFit="1" customWidth="1"/>
    <col min="256" max="256" width="14.85546875" style="12" bestFit="1" customWidth="1"/>
    <col min="257" max="257" width="16.42578125" style="12" bestFit="1" customWidth="1"/>
    <col min="258" max="258" width="21.85546875" style="12" customWidth="1"/>
    <col min="259" max="259" width="25.7109375" style="12" customWidth="1"/>
    <col min="260" max="260" width="19.7109375" style="12" bestFit="1" customWidth="1"/>
    <col min="261" max="261" width="3.28515625" style="12" customWidth="1"/>
    <col min="262" max="262" width="3.28515625" style="13" customWidth="1"/>
    <col min="263" max="263" width="2.28515625" style="12" customWidth="1"/>
    <col min="264" max="264" width="6.140625" style="12" customWidth="1"/>
    <col min="265" max="265" width="9.42578125" style="12" customWidth="1"/>
    <col min="266" max="266" width="8.42578125" style="12" bestFit="1" customWidth="1"/>
    <col min="267" max="267" width="9.42578125" style="12" customWidth="1"/>
    <col min="268" max="269" width="15.85546875" style="12" customWidth="1"/>
    <col min="270" max="270" width="8.28515625" style="12" customWidth="1"/>
    <col min="271" max="271" width="9.42578125" style="12" customWidth="1"/>
    <col min="272" max="272" width="8.42578125" style="12" bestFit="1" customWidth="1"/>
    <col min="273" max="273" width="9.85546875" style="12" customWidth="1"/>
    <col min="274" max="274" width="3.85546875" style="12" customWidth="1"/>
    <col min="275" max="275" width="3.85546875" style="13" customWidth="1"/>
    <col min="276" max="276" width="3.85546875" style="12" customWidth="1"/>
    <col min="277" max="277" width="4.85546875" style="12" customWidth="1"/>
    <col min="278" max="278" width="12" style="12" customWidth="1"/>
    <col min="279" max="279" width="11.5703125" style="12" customWidth="1"/>
    <col min="280" max="282" width="12.5703125" style="12" customWidth="1"/>
    <col min="283" max="284" width="18.140625" style="12" bestFit="1" customWidth="1"/>
    <col min="285" max="285" width="15.85546875" style="12" bestFit="1" customWidth="1"/>
    <col min="286" max="286" width="17.28515625" style="12" bestFit="1" customWidth="1"/>
    <col min="287" max="288" width="15.140625" style="12" bestFit="1" customWidth="1"/>
    <col min="289" max="289" width="16.7109375" style="12" bestFit="1" customWidth="1"/>
    <col min="290" max="290" width="17.85546875" style="12" bestFit="1" customWidth="1"/>
    <col min="291" max="291" width="3.85546875" style="12" customWidth="1"/>
    <col min="292" max="292" width="3.85546875" style="13" customWidth="1"/>
    <col min="293" max="293" width="3.85546875" style="12" customWidth="1"/>
    <col min="294" max="294" width="4.85546875" style="12" customWidth="1"/>
    <col min="295" max="295" width="20.5703125" style="12" customWidth="1"/>
    <col min="296" max="296" width="11" style="12" customWidth="1"/>
    <col min="297" max="297" width="16.7109375" style="12" customWidth="1"/>
    <col min="298" max="298" width="15.85546875" style="12" bestFit="1" customWidth="1"/>
    <col min="299" max="299" width="16.7109375" style="12" bestFit="1" customWidth="1"/>
    <col min="300" max="300" width="14.28515625" style="12" customWidth="1"/>
    <col min="301" max="301" width="14.28515625" style="411" customWidth="1"/>
    <col min="302" max="302" width="14.28515625" style="12" customWidth="1"/>
    <col min="303" max="303" width="16.42578125" style="411" bestFit="1" customWidth="1"/>
    <col min="304" max="304" width="14.28515625" style="411" customWidth="1"/>
    <col min="305" max="305" width="16.42578125" style="12" bestFit="1" customWidth="1"/>
    <col min="306" max="306" width="14.28515625" style="12" customWidth="1"/>
    <col min="307" max="307" width="15.140625" style="12" bestFit="1" customWidth="1"/>
    <col min="308" max="311" width="14.28515625" style="12" customWidth="1"/>
    <col min="312" max="312" width="15.42578125" style="12" bestFit="1" customWidth="1"/>
    <col min="313" max="313" width="16.42578125" style="12" bestFit="1" customWidth="1"/>
    <col min="314" max="314" width="17" style="12" customWidth="1"/>
    <col min="315" max="315" width="16.7109375" style="12" bestFit="1" customWidth="1"/>
    <col min="316" max="316" width="6.5703125" style="12" customWidth="1"/>
    <col min="317" max="317" width="2.28515625" style="13" customWidth="1"/>
    <col min="318" max="319" width="6.5703125" style="12" customWidth="1"/>
    <col min="320" max="320" width="9.42578125" style="12" customWidth="1"/>
    <col min="321" max="321" width="18" style="12" customWidth="1"/>
    <col min="322" max="322" width="17.5703125" style="12" customWidth="1"/>
    <col min="323" max="323" width="17.85546875" style="12" bestFit="1" customWidth="1"/>
    <col min="324" max="324" width="16.7109375" style="12" bestFit="1" customWidth="1"/>
    <col min="325" max="325" width="16.42578125" style="12" bestFit="1" customWidth="1"/>
    <col min="326" max="326" width="16.7109375" style="12" bestFit="1" customWidth="1"/>
    <col min="327" max="328" width="15.140625" style="12" bestFit="1" customWidth="1"/>
    <col min="329" max="329" width="16.7109375" style="12" bestFit="1" customWidth="1"/>
    <col min="330" max="330" width="9.85546875" style="12"/>
    <col min="331" max="331" width="2.7109375" style="13" customWidth="1"/>
    <col min="332" max="332" width="2.7109375" style="12" customWidth="1"/>
    <col min="333" max="333" width="15.85546875" style="12" customWidth="1"/>
    <col min="334" max="334" width="32.28515625" style="12" bestFit="1" customWidth="1"/>
    <col min="335" max="335" width="15.85546875" style="12" customWidth="1"/>
    <col min="336" max="336" width="2.7109375" style="12" customWidth="1"/>
    <col min="337" max="337" width="2.7109375" style="13" customWidth="1"/>
    <col min="338" max="338" width="2.7109375" style="12" customWidth="1"/>
    <col min="339" max="339" width="3.85546875" style="18" customWidth="1"/>
    <col min="340" max="340" width="58.42578125" style="18" customWidth="1"/>
    <col min="341" max="341" width="17.5703125" style="12" bestFit="1" customWidth="1"/>
    <col min="342" max="342" width="19.5703125" style="12" customWidth="1"/>
    <col min="343" max="343" width="16.42578125" style="12" hidden="1" customWidth="1"/>
    <col min="344" max="344" width="20.85546875" style="12" bestFit="1" customWidth="1"/>
    <col min="345" max="345" width="20.7109375" style="12" customWidth="1"/>
    <col min="346" max="346" width="3.85546875" style="12" customWidth="1"/>
    <col min="347" max="347" width="2.7109375" style="13" customWidth="1"/>
    <col min="348" max="348" width="2.7109375" style="12" customWidth="1"/>
    <col min="349" max="349" width="4.42578125" style="12" bestFit="1" customWidth="1"/>
    <col min="350" max="350" width="57.85546875" style="411" bestFit="1" customWidth="1"/>
    <col min="351" max="351" width="24.85546875" style="12" customWidth="1"/>
    <col min="352" max="352" width="25.5703125" style="12" bestFit="1" customWidth="1"/>
    <col min="353" max="353" width="17.5703125" style="12" bestFit="1" customWidth="1"/>
    <col min="354" max="354" width="13.5703125" style="12" customWidth="1"/>
    <col min="355" max="355" width="3.85546875" style="12" customWidth="1"/>
    <col min="356" max="356" width="2.7109375" style="13" customWidth="1"/>
    <col min="357" max="357" width="2.7109375" style="12" customWidth="1"/>
    <col min="358" max="405" width="9.85546875" style="29"/>
    <col min="406" max="16384" width="9.85546875" style="12"/>
  </cols>
  <sheetData>
    <row r="1" spans="1:405" s="5" customFormat="1" ht="16.5" x14ac:dyDescent="0.3">
      <c r="A1" s="1019" t="s">
        <v>0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19"/>
      <c r="P1" s="1019"/>
      <c r="Q1" s="1019"/>
      <c r="R1" s="1019"/>
      <c r="S1" s="2"/>
      <c r="T1" s="3"/>
      <c r="U1" s="2"/>
      <c r="V1" s="2"/>
      <c r="W1" s="1019" t="s">
        <v>1</v>
      </c>
      <c r="X1" s="1019"/>
      <c r="Y1" s="1019"/>
      <c r="Z1" s="1019"/>
      <c r="AA1" s="1019"/>
      <c r="AB1" s="1"/>
      <c r="AC1" s="1"/>
      <c r="AD1" s="3"/>
      <c r="AE1" s="2"/>
      <c r="AF1" s="1019" t="s">
        <v>2</v>
      </c>
      <c r="AG1" s="1019"/>
      <c r="AH1" s="1019"/>
      <c r="AI1" s="1019"/>
      <c r="AJ1" s="1019"/>
      <c r="AK1" s="2"/>
      <c r="AL1" s="3"/>
      <c r="AM1" s="1019" t="s">
        <v>3</v>
      </c>
      <c r="AN1" s="1019"/>
      <c r="AO1" s="1019"/>
      <c r="AP1" s="1019"/>
      <c r="AQ1" s="1019"/>
      <c r="AR1" s="1019"/>
      <c r="AS1" s="1019"/>
      <c r="AT1" s="1019"/>
      <c r="AU1" s="1019"/>
      <c r="AV1" s="1019"/>
      <c r="AW1" s="1019"/>
      <c r="AX1" s="1019"/>
      <c r="AY1" s="1019"/>
      <c r="AZ1" s="1019"/>
      <c r="BA1" s="1019"/>
      <c r="BB1" s="1019"/>
      <c r="BC1" s="1019"/>
      <c r="BD1" s="1019"/>
      <c r="BE1" s="1019"/>
      <c r="BF1" s="1019"/>
      <c r="BG1" s="1019"/>
      <c r="BH1" s="1019"/>
      <c r="BI1" s="1019"/>
      <c r="BJ1" s="1019"/>
      <c r="BK1" s="1019"/>
      <c r="BL1" s="1019"/>
      <c r="BM1" s="1019"/>
      <c r="BN1" s="1019"/>
      <c r="BO1" s="1019"/>
      <c r="BP1" s="1019"/>
      <c r="BQ1" s="1019"/>
      <c r="BR1" s="1019"/>
      <c r="BS1" s="1019"/>
      <c r="BT1" s="1019"/>
      <c r="BU1" s="1019"/>
      <c r="BV1" s="1019"/>
      <c r="BW1" s="1019"/>
      <c r="BX1" s="1019"/>
      <c r="BY1" s="1019"/>
      <c r="BZ1" s="1019"/>
      <c r="CA1" s="1019"/>
      <c r="CB1" s="1019"/>
      <c r="CC1" s="1019"/>
      <c r="CD1" s="1019"/>
      <c r="CE1" s="1019"/>
      <c r="CF1" s="1019"/>
      <c r="CG1" s="1019"/>
      <c r="CH1" s="1019"/>
      <c r="CI1" s="1019"/>
      <c r="CJ1" s="1019"/>
      <c r="CK1" s="2"/>
      <c r="CL1" s="3"/>
      <c r="CM1" s="1019" t="s">
        <v>4</v>
      </c>
      <c r="CN1" s="1019"/>
      <c r="CO1" s="1019"/>
      <c r="CP1" s="1019"/>
      <c r="CQ1" s="1019"/>
      <c r="CR1" s="1019"/>
      <c r="CS1" s="1019"/>
      <c r="CT1" s="1019"/>
      <c r="CU1" s="1019"/>
      <c r="CV1" s="1019"/>
      <c r="CW1" s="1019"/>
      <c r="CX1" s="1019"/>
      <c r="CY1" s="4"/>
      <c r="CZ1" s="1019" t="s">
        <v>5</v>
      </c>
      <c r="DA1" s="1019"/>
      <c r="DB1" s="1019"/>
      <c r="DC1" s="1019"/>
      <c r="DD1" s="1019"/>
      <c r="DE1" s="1019"/>
      <c r="DF1" s="1019"/>
      <c r="DG1" s="1019"/>
      <c r="DH1" s="1019"/>
      <c r="DI1" s="4"/>
      <c r="DJ1" s="1019" t="s">
        <v>6</v>
      </c>
      <c r="DK1" s="1019"/>
      <c r="DL1" s="1019"/>
      <c r="DM1" s="1019"/>
      <c r="DN1" s="1019"/>
      <c r="DO1" s="1019"/>
      <c r="DP1" s="1019"/>
      <c r="DQ1" s="1019"/>
      <c r="DR1" s="3"/>
      <c r="DS1" s="1019" t="s">
        <v>7</v>
      </c>
      <c r="DT1" s="1019"/>
      <c r="DU1" s="1019"/>
      <c r="DV1" s="1019"/>
      <c r="DW1" s="1019"/>
      <c r="DX1" s="1019"/>
      <c r="DY1" s="1019"/>
      <c r="DZ1" s="1019"/>
      <c r="EA1" s="1019"/>
      <c r="EB1" s="1019"/>
      <c r="EC1" s="1019"/>
      <c r="ED1" s="1019"/>
      <c r="EE1" s="4"/>
      <c r="EG1" s="1019" t="s">
        <v>8</v>
      </c>
      <c r="EH1" s="1019"/>
      <c r="EI1" s="1019"/>
      <c r="EJ1" s="1019"/>
      <c r="EK1" s="1019"/>
      <c r="EL1" s="1019"/>
      <c r="EM1" s="1019"/>
      <c r="EN1" s="1019"/>
      <c r="EO1" s="1019"/>
      <c r="EP1" s="1019"/>
      <c r="EQ1" s="2"/>
      <c r="ER1" s="4"/>
      <c r="ES1" s="2"/>
      <c r="ET1" s="1019" t="s">
        <v>9</v>
      </c>
      <c r="EU1" s="1019"/>
      <c r="EV1" s="1019"/>
      <c r="EW1" s="1019"/>
      <c r="EX1" s="1019"/>
      <c r="EY1" s="1019"/>
      <c r="EZ1" s="1019"/>
      <c r="FA1" s="1019"/>
      <c r="FB1" s="1019"/>
      <c r="FC1" s="1019"/>
      <c r="FD1" s="1019"/>
      <c r="FE1" s="1019"/>
      <c r="FF1" s="1019"/>
      <c r="FG1" s="2"/>
      <c r="FH1" s="4"/>
      <c r="FI1" s="1019" t="s">
        <v>10</v>
      </c>
      <c r="FJ1" s="1019"/>
      <c r="FK1" s="1019"/>
      <c r="FL1" s="1019"/>
      <c r="FM1" s="1019"/>
      <c r="FN1" s="1019"/>
      <c r="FO1" s="1019"/>
      <c r="FP1" s="1019"/>
      <c r="FQ1" s="1019"/>
      <c r="FR1" s="1019"/>
      <c r="FS1" s="1019"/>
      <c r="FT1" s="1019"/>
      <c r="FU1" s="1019"/>
      <c r="FV1" s="1019"/>
      <c r="FW1" s="4"/>
      <c r="FX1" s="1019" t="s">
        <v>11</v>
      </c>
      <c r="FY1" s="1019"/>
      <c r="FZ1" s="1019"/>
      <c r="GA1" s="1019"/>
      <c r="GB1" s="1019"/>
      <c r="GC1" s="1019"/>
      <c r="GD1" s="1019"/>
      <c r="GE1" s="1019"/>
      <c r="GF1" s="1019"/>
      <c r="GG1" s="1019"/>
      <c r="GH1" s="1019"/>
      <c r="GI1" s="1019"/>
      <c r="GJ1" s="3"/>
      <c r="GK1" s="1019" t="s">
        <v>12</v>
      </c>
      <c r="GL1" s="1019"/>
      <c r="GM1" s="1019"/>
      <c r="GN1" s="1019"/>
      <c r="GO1" s="1019"/>
      <c r="GP1" s="1019"/>
      <c r="GQ1" s="1019"/>
      <c r="GR1" s="1019"/>
      <c r="GS1" s="1019"/>
      <c r="GT1" s="1019"/>
      <c r="GU1" s="1019"/>
      <c r="GV1" s="1019"/>
      <c r="GW1" s="4"/>
      <c r="GY1" s="1020" t="s">
        <v>13</v>
      </c>
      <c r="GZ1" s="1020"/>
      <c r="HA1" s="1020"/>
      <c r="HB1" s="1020"/>
      <c r="HC1" s="1020"/>
      <c r="HD1" s="1020"/>
      <c r="HE1" s="1020"/>
      <c r="HF1" s="1020"/>
      <c r="HG1" s="1020"/>
      <c r="HH1" s="1020"/>
      <c r="HI1" s="1020"/>
      <c r="HJ1" s="1020"/>
      <c r="HL1" s="3"/>
      <c r="HM1" s="2"/>
      <c r="HN1" s="1021" t="s">
        <v>14</v>
      </c>
      <c r="HO1" s="1021"/>
      <c r="HP1" s="1021"/>
      <c r="HQ1" s="1021"/>
      <c r="HR1" s="1021"/>
      <c r="HS1" s="1021"/>
      <c r="HT1" s="1021"/>
      <c r="HU1" s="1021"/>
      <c r="HV1" s="1021"/>
      <c r="HW1" s="1021"/>
      <c r="HX1" s="1021"/>
      <c r="HY1" s="1021"/>
      <c r="HZ1" s="1021"/>
      <c r="IA1" s="2"/>
      <c r="IB1" s="3"/>
      <c r="IC1" s="2"/>
      <c r="ID1" s="1021" t="s">
        <v>15</v>
      </c>
      <c r="IE1" s="1021"/>
      <c r="IF1" s="1021"/>
      <c r="IG1" s="1021"/>
      <c r="IH1" s="1021"/>
      <c r="II1" s="1021"/>
      <c r="IJ1" s="1021"/>
      <c r="IK1" s="1021"/>
      <c r="IL1" s="1021"/>
      <c r="IM1" s="1021"/>
      <c r="IN1" s="1021"/>
      <c r="IO1" s="1021"/>
      <c r="IP1" s="1021"/>
      <c r="IQ1" s="1021"/>
      <c r="IR1" s="1021"/>
      <c r="IS1" s="1021"/>
      <c r="IT1" s="1021"/>
      <c r="IU1" s="1021"/>
      <c r="IV1" s="1021"/>
      <c r="IW1" s="1021"/>
      <c r="IX1" s="1021"/>
      <c r="IY1" s="1021"/>
      <c r="IZ1" s="1021"/>
      <c r="JA1" s="1"/>
      <c r="JB1" s="4"/>
      <c r="JC1" s="2"/>
      <c r="JD1" s="1021" t="s">
        <v>16</v>
      </c>
      <c r="JE1" s="1021"/>
      <c r="JF1" s="1021"/>
      <c r="JG1" s="1021"/>
      <c r="JH1" s="1021"/>
      <c r="JI1" s="1021"/>
      <c r="JJ1" s="1021"/>
      <c r="JK1" s="1021"/>
      <c r="JL1" s="1021"/>
      <c r="JM1" s="1021"/>
      <c r="JO1" s="3"/>
      <c r="JQ1" s="1021" t="s">
        <v>17</v>
      </c>
      <c r="JR1" s="1021"/>
      <c r="JS1" s="1021"/>
      <c r="JT1" s="1021"/>
      <c r="JU1" s="1021"/>
      <c r="JV1" s="1021"/>
      <c r="JW1" s="1021"/>
      <c r="JX1" s="1021"/>
      <c r="JY1" s="1021"/>
      <c r="JZ1" s="1021"/>
      <c r="KA1" s="1021"/>
      <c r="KB1" s="1021"/>
      <c r="KC1" s="1021"/>
      <c r="KD1" s="1021"/>
      <c r="KE1" s="2"/>
      <c r="KF1" s="3"/>
      <c r="KG1" s="2"/>
      <c r="KH1" s="1025" t="s">
        <v>18</v>
      </c>
      <c r="KI1" s="1025"/>
      <c r="KJ1" s="1025"/>
      <c r="KK1" s="1025"/>
      <c r="KL1" s="1025"/>
      <c r="KM1" s="1025"/>
      <c r="KN1" s="1025"/>
      <c r="KO1" s="1025"/>
      <c r="KP1" s="1025"/>
      <c r="KQ1" s="1025"/>
      <c r="KR1" s="1025"/>
      <c r="KS1" s="1025"/>
      <c r="KT1" s="1025"/>
      <c r="KU1" s="1025"/>
      <c r="KV1" s="1025"/>
      <c r="KW1" s="1025"/>
      <c r="KX1" s="1025"/>
      <c r="KY1" s="1025"/>
      <c r="KZ1" s="1025"/>
      <c r="LA1" s="1025"/>
      <c r="LB1" s="1025"/>
      <c r="LC1" s="1025"/>
      <c r="LD1" s="1"/>
      <c r="LE1" s="4"/>
      <c r="LG1" s="1021" t="s">
        <v>19</v>
      </c>
      <c r="LH1" s="1021"/>
      <c r="LI1" s="1021"/>
      <c r="LJ1" s="1021"/>
      <c r="LK1" s="1021"/>
      <c r="LL1" s="1021"/>
      <c r="LM1" s="1021"/>
      <c r="LN1" s="1021"/>
      <c r="LO1" s="1021"/>
      <c r="LP1" s="1021"/>
      <c r="LQ1" s="1021"/>
      <c r="LR1" s="2"/>
      <c r="LS1" s="3"/>
      <c r="LT1" s="2"/>
      <c r="LU1" s="1021" t="s">
        <v>20</v>
      </c>
      <c r="LV1" s="1021"/>
      <c r="LW1" s="1021"/>
      <c r="LX1" s="2"/>
      <c r="LY1" s="3"/>
      <c r="LZ1" s="2"/>
      <c r="MA1" s="1014" t="s">
        <v>21</v>
      </c>
      <c r="MB1" s="1014"/>
      <c r="MC1" s="1014"/>
      <c r="MD1" s="1014"/>
      <c r="ME1" s="1014"/>
      <c r="MF1" s="1014"/>
      <c r="MG1" s="1014"/>
      <c r="MH1" s="2"/>
      <c r="MI1" s="3"/>
      <c r="MJ1" s="2"/>
      <c r="MK1" s="1015" t="s">
        <v>22</v>
      </c>
      <c r="ML1" s="1015"/>
      <c r="MM1" s="1015"/>
      <c r="MN1" s="1015"/>
      <c r="MO1" s="1015"/>
      <c r="MP1" s="1015"/>
      <c r="MQ1" s="2"/>
      <c r="MR1" s="3"/>
      <c r="MS1" s="2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</row>
    <row r="2" spans="1:405" ht="16.5" x14ac:dyDescent="0.3">
      <c r="A2" s="8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"/>
      <c r="AK2" s="11"/>
      <c r="AM2" s="14"/>
      <c r="AO2" s="14"/>
      <c r="AP2" s="14"/>
      <c r="AQ2" s="14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5"/>
      <c r="EQ2" s="19"/>
      <c r="ER2" s="20"/>
      <c r="FG2" s="19"/>
      <c r="FH2" s="20"/>
      <c r="FV2" s="14"/>
      <c r="GI2" s="14"/>
      <c r="GJ2" s="21"/>
      <c r="GY2" s="1020"/>
      <c r="GZ2" s="1020"/>
      <c r="HA2" s="1020"/>
      <c r="HB2" s="1020"/>
      <c r="HC2" s="1020"/>
      <c r="HD2" s="1020"/>
      <c r="HE2" s="1020"/>
      <c r="HF2" s="1020"/>
      <c r="HG2" s="1020"/>
      <c r="HH2" s="1020"/>
      <c r="HI2" s="1020"/>
      <c r="HJ2" s="1020"/>
      <c r="HK2" s="14"/>
      <c r="HN2" s="1021"/>
      <c r="HO2" s="1021"/>
      <c r="HP2" s="1021"/>
      <c r="HQ2" s="1021"/>
      <c r="HR2" s="1021"/>
      <c r="HS2" s="1021"/>
      <c r="HT2" s="1021"/>
      <c r="HU2" s="1021"/>
      <c r="HV2" s="1021"/>
      <c r="HW2" s="1021"/>
      <c r="HX2" s="1021"/>
      <c r="HY2" s="1021"/>
      <c r="HZ2" s="1021"/>
      <c r="ID2" s="1021"/>
      <c r="IE2" s="1021"/>
      <c r="IF2" s="1021"/>
      <c r="IG2" s="1021"/>
      <c r="IH2" s="1021"/>
      <c r="II2" s="1021"/>
      <c r="IJ2" s="1021"/>
      <c r="IK2" s="1021"/>
      <c r="IL2" s="1021"/>
      <c r="IM2" s="1021"/>
      <c r="IN2" s="1021"/>
      <c r="IO2" s="1021"/>
      <c r="IP2" s="1021"/>
      <c r="IQ2" s="1021"/>
      <c r="IR2" s="1021"/>
      <c r="IS2" s="1021"/>
      <c r="IT2" s="1021"/>
      <c r="IU2" s="1021"/>
      <c r="IV2" s="1021"/>
      <c r="IW2" s="1021"/>
      <c r="IX2" s="1021"/>
      <c r="IY2" s="1021"/>
      <c r="IZ2" s="1021"/>
      <c r="JC2" s="22"/>
      <c r="JD2" s="1022"/>
      <c r="JE2" s="1022"/>
      <c r="JF2" s="1022"/>
      <c r="JG2" s="1022"/>
      <c r="JH2" s="1022"/>
      <c r="JI2" s="1022"/>
      <c r="JJ2" s="1022"/>
      <c r="JK2" s="1022"/>
      <c r="JL2" s="1022"/>
      <c r="JM2" s="1022"/>
      <c r="JO2" s="23"/>
      <c r="JQ2" s="1021"/>
      <c r="JR2" s="1021"/>
      <c r="JS2" s="1021"/>
      <c r="JT2" s="1021"/>
      <c r="JU2" s="1021"/>
      <c r="JV2" s="1021"/>
      <c r="JW2" s="1021"/>
      <c r="JX2" s="1021"/>
      <c r="JY2" s="1021"/>
      <c r="JZ2" s="1021"/>
      <c r="KA2" s="1021"/>
      <c r="KB2" s="1021"/>
      <c r="KC2" s="1021"/>
      <c r="KD2" s="1021"/>
      <c r="KE2" s="24"/>
      <c r="KF2" s="25"/>
      <c r="KG2" s="24"/>
      <c r="KH2" s="1025"/>
      <c r="KI2" s="1025"/>
      <c r="KJ2" s="1025"/>
      <c r="KK2" s="1025"/>
      <c r="KL2" s="1025"/>
      <c r="KM2" s="1025"/>
      <c r="KN2" s="1025"/>
      <c r="KO2" s="1025"/>
      <c r="KP2" s="1025"/>
      <c r="KQ2" s="1025"/>
      <c r="KR2" s="1025"/>
      <c r="KS2" s="1025"/>
      <c r="KT2" s="1025"/>
      <c r="KU2" s="1025"/>
      <c r="KV2" s="1025"/>
      <c r="KW2" s="1025"/>
      <c r="KX2" s="1025"/>
      <c r="KY2" s="1025"/>
      <c r="KZ2" s="1025"/>
      <c r="LA2" s="1025"/>
      <c r="LB2" s="1025"/>
      <c r="LC2" s="1025"/>
      <c r="LD2" s="26"/>
      <c r="LE2" s="27"/>
      <c r="LG2" s="1021"/>
      <c r="LH2" s="1021"/>
      <c r="LI2" s="1021"/>
      <c r="LJ2" s="1021"/>
      <c r="LK2" s="1021"/>
      <c r="LL2" s="1021"/>
      <c r="LM2" s="1021"/>
      <c r="LN2" s="1021"/>
      <c r="LO2" s="1021"/>
      <c r="LP2" s="1021"/>
      <c r="LQ2" s="1021"/>
      <c r="LS2" s="28"/>
      <c r="LT2" s="15"/>
      <c r="LU2" s="1021"/>
      <c r="LV2" s="1021"/>
      <c r="LW2" s="1021"/>
      <c r="LX2" s="2"/>
      <c r="LY2" s="3"/>
      <c r="LZ2" s="2"/>
      <c r="MA2" s="1014"/>
      <c r="MB2" s="1014"/>
      <c r="MC2" s="1014"/>
      <c r="MD2" s="1014"/>
      <c r="ME2" s="1014"/>
      <c r="MF2" s="1014"/>
      <c r="MG2" s="1014"/>
      <c r="MI2" s="28"/>
      <c r="MJ2" s="15"/>
      <c r="MK2" s="1015"/>
      <c r="ML2" s="1015"/>
      <c r="MM2" s="1015"/>
      <c r="MN2" s="1015"/>
      <c r="MO2" s="1015"/>
      <c r="MP2" s="1015"/>
      <c r="MR2" s="28"/>
      <c r="MS2" s="15"/>
    </row>
    <row r="3" spans="1:405" ht="18" customHeight="1" x14ac:dyDescent="0.3">
      <c r="A3" s="8"/>
      <c r="B3" s="633"/>
      <c r="C3" s="633"/>
      <c r="D3" s="633"/>
      <c r="E3" s="633"/>
      <c r="F3" s="1016" t="s">
        <v>23</v>
      </c>
      <c r="G3" s="1017"/>
      <c r="H3" s="1016" t="s">
        <v>24</v>
      </c>
      <c r="I3" s="1018"/>
      <c r="J3" s="1017"/>
      <c r="K3" s="1016" t="s">
        <v>25</v>
      </c>
      <c r="L3" s="1018"/>
      <c r="M3" s="1017"/>
      <c r="N3" s="1016" t="s">
        <v>26</v>
      </c>
      <c r="O3" s="1018"/>
      <c r="P3" s="1017"/>
      <c r="Q3" s="1016" t="s">
        <v>27</v>
      </c>
      <c r="R3" s="1018"/>
      <c r="S3" s="30"/>
      <c r="T3" s="31"/>
      <c r="U3" s="32"/>
      <c r="V3" s="634"/>
      <c r="W3" s="634"/>
      <c r="X3" s="634"/>
      <c r="Y3" s="634"/>
      <c r="Z3" s="634"/>
      <c r="AA3" s="634"/>
      <c r="AF3" s="634"/>
      <c r="AG3" s="634"/>
      <c r="AH3" s="634"/>
      <c r="AI3" s="634"/>
      <c r="AJ3" s="634"/>
      <c r="AK3" s="34"/>
      <c r="AN3" s="635"/>
      <c r="AO3" s="636"/>
      <c r="AP3" s="637"/>
      <c r="AQ3" s="636"/>
      <c r="AR3" s="638"/>
      <c r="AS3" s="1023" t="s">
        <v>28</v>
      </c>
      <c r="AT3" s="1024"/>
      <c r="AU3" s="636"/>
      <c r="AV3" s="1023" t="s">
        <v>29</v>
      </c>
      <c r="AW3" s="1024"/>
      <c r="AX3" s="1024"/>
      <c r="AY3" s="636"/>
      <c r="AZ3" s="1023" t="s">
        <v>30</v>
      </c>
      <c r="BA3" s="1024"/>
      <c r="BB3" s="1024"/>
      <c r="BC3" s="636"/>
      <c r="BD3" s="1023" t="s">
        <v>31</v>
      </c>
      <c r="BE3" s="1024"/>
      <c r="BF3" s="1024"/>
      <c r="BG3" s="636"/>
      <c r="BH3" s="1023" t="s">
        <v>32</v>
      </c>
      <c r="BI3" s="1024"/>
      <c r="BJ3" s="1024"/>
      <c r="BK3" s="636"/>
      <c r="BL3" s="1023" t="s">
        <v>33</v>
      </c>
      <c r="BM3" s="1024"/>
      <c r="BN3" s="1024"/>
      <c r="BO3" s="636"/>
      <c r="BP3" s="1023" t="s">
        <v>34</v>
      </c>
      <c r="BQ3" s="1024"/>
      <c r="BR3" s="1024"/>
      <c r="BS3" s="636"/>
      <c r="BT3" s="1023" t="s">
        <v>35</v>
      </c>
      <c r="BU3" s="1024"/>
      <c r="BV3" s="1024"/>
      <c r="BW3" s="1024" t="s">
        <v>36</v>
      </c>
      <c r="BX3" s="1024"/>
      <c r="BY3" s="1024"/>
      <c r="BZ3" s="1023" t="s">
        <v>37</v>
      </c>
      <c r="CA3" s="1024"/>
      <c r="CB3" s="1031"/>
      <c r="CC3" s="1023" t="s">
        <v>38</v>
      </c>
      <c r="CD3" s="1024"/>
      <c r="CE3" s="1031"/>
      <c r="CF3" s="1023" t="s">
        <v>23</v>
      </c>
      <c r="CG3" s="1024"/>
      <c r="CH3" s="1031"/>
      <c r="CI3" s="1026" t="s">
        <v>39</v>
      </c>
      <c r="CJ3" s="1027"/>
      <c r="CN3" s="639"/>
      <c r="CO3" s="640"/>
      <c r="CP3" s="1028" t="str">
        <f>F3</f>
        <v>2023 Fiscal Year As Accepted</v>
      </c>
      <c r="CQ3" s="1029"/>
      <c r="CR3" s="1029"/>
      <c r="CS3" s="1030"/>
      <c r="CT3" s="1028" t="str">
        <f>H3</f>
        <v>2023 Fiscal Year As Adjusted</v>
      </c>
      <c r="CU3" s="1029"/>
      <c r="CV3" s="1029"/>
      <c r="CW3" s="1030"/>
      <c r="CX3" s="11"/>
      <c r="DA3" s="636"/>
      <c r="DB3" s="641"/>
      <c r="DC3" s="1028" t="str">
        <f>CP3</f>
        <v>2023 Fiscal Year As Accepted</v>
      </c>
      <c r="DD3" s="1030"/>
      <c r="DE3" s="1028" t="str">
        <f>CT3</f>
        <v>2023 Fiscal Year As Adjusted</v>
      </c>
      <c r="DF3" s="1029"/>
      <c r="DG3" s="1030"/>
      <c r="DK3" s="642"/>
      <c r="DL3" s="643"/>
      <c r="DM3" s="1028" t="str">
        <f>DC3</f>
        <v>2023 Fiscal Year As Accepted</v>
      </c>
      <c r="DN3" s="1030"/>
      <c r="DO3" s="1028" t="str">
        <f>DE3</f>
        <v>2023 Fiscal Year As Adjusted</v>
      </c>
      <c r="DP3" s="1030"/>
      <c r="DT3" s="636"/>
      <c r="DU3" s="644"/>
      <c r="DV3" s="1024" t="str">
        <f>DC3</f>
        <v>2023 Fiscal Year As Accepted</v>
      </c>
      <c r="DW3" s="1024"/>
      <c r="DX3" s="1024"/>
      <c r="DY3" s="1024"/>
      <c r="DZ3" s="1023" t="str">
        <f>DE3</f>
        <v>2023 Fiscal Year As Adjusted</v>
      </c>
      <c r="EA3" s="1024"/>
      <c r="EB3" s="1024"/>
      <c r="EC3" s="1031"/>
      <c r="EE3" s="39"/>
      <c r="EG3" s="36"/>
      <c r="EH3" s="36"/>
      <c r="EI3" s="1038" t="str">
        <f>DV3</f>
        <v>2023 Fiscal Year As Accepted</v>
      </c>
      <c r="EJ3" s="1032"/>
      <c r="EK3" s="1032"/>
      <c r="EL3" s="1033"/>
      <c r="EM3" s="1038" t="str">
        <f>DZ3</f>
        <v>2023 Fiscal Year As Adjusted</v>
      </c>
      <c r="EN3" s="1032"/>
      <c r="EO3" s="1032"/>
      <c r="EP3" s="1033"/>
      <c r="EQ3" s="11"/>
      <c r="ER3" s="40"/>
      <c r="ET3" s="36"/>
      <c r="EU3" s="37"/>
      <c r="EV3" s="1032" t="str">
        <f>EI3</f>
        <v>2023 Fiscal Year As Accepted</v>
      </c>
      <c r="EW3" s="1032"/>
      <c r="EX3" s="1032"/>
      <c r="EY3" s="1033"/>
      <c r="EZ3" s="1032" t="str">
        <f>EM3</f>
        <v>2023 Fiscal Year As Adjusted</v>
      </c>
      <c r="FA3" s="1032"/>
      <c r="FB3" s="1032"/>
      <c r="FC3" s="1033"/>
      <c r="FD3" s="1032" t="s">
        <v>40</v>
      </c>
      <c r="FE3" s="1032"/>
      <c r="FF3" s="1033"/>
      <c r="FG3" s="11"/>
      <c r="FH3" s="40"/>
      <c r="FJ3" s="36"/>
      <c r="FK3" s="36"/>
      <c r="FL3" s="36"/>
      <c r="FM3" s="1034" t="str">
        <f>EI3</f>
        <v>2023 Fiscal Year As Accepted</v>
      </c>
      <c r="FN3" s="1035"/>
      <c r="FO3" s="1035"/>
      <c r="FP3" s="1036"/>
      <c r="FQ3" s="1034" t="str">
        <f>EM3</f>
        <v>2023 Fiscal Year As Adjusted</v>
      </c>
      <c r="FR3" s="1035"/>
      <c r="FS3" s="1035"/>
      <c r="FT3" s="1035"/>
      <c r="FU3" s="1036"/>
      <c r="FV3" s="14"/>
      <c r="FW3" s="21"/>
      <c r="FY3" s="35"/>
      <c r="FZ3" s="36"/>
      <c r="GA3" s="1034" t="str">
        <f>FM3</f>
        <v>2023 Fiscal Year As Accepted</v>
      </c>
      <c r="GB3" s="1035"/>
      <c r="GC3" s="1035"/>
      <c r="GD3" s="1036"/>
      <c r="GE3" s="1037" t="str">
        <f>FQ3</f>
        <v>2023 Fiscal Year As Adjusted</v>
      </c>
      <c r="GF3" s="1035"/>
      <c r="GG3" s="1035"/>
      <c r="GH3" s="1036"/>
      <c r="GI3" s="11"/>
      <c r="GJ3" s="42"/>
      <c r="GL3" s="36"/>
      <c r="GM3" s="36"/>
      <c r="GN3" s="1043" t="str">
        <f>GA3</f>
        <v>2023 Fiscal Year As Accepted</v>
      </c>
      <c r="GO3" s="1044"/>
      <c r="GP3" s="1044"/>
      <c r="GQ3" s="1045"/>
      <c r="GR3" s="1043" t="str">
        <f>GE3</f>
        <v>2023 Fiscal Year As Adjusted</v>
      </c>
      <c r="GS3" s="1044"/>
      <c r="GT3" s="1044"/>
      <c r="GU3" s="1045"/>
      <c r="GY3" s="11"/>
      <c r="GZ3" s="43"/>
      <c r="HA3" s="44"/>
      <c r="HB3" s="44"/>
      <c r="HC3" s="44"/>
      <c r="HD3" s="44"/>
      <c r="HE3" s="44"/>
      <c r="HF3" s="45"/>
      <c r="HG3" s="44"/>
      <c r="HH3" s="44"/>
      <c r="HI3" s="44"/>
      <c r="HJ3" s="44"/>
      <c r="HK3" s="46"/>
      <c r="HM3" s="46"/>
      <c r="HN3" s="41"/>
      <c r="HO3" s="47"/>
      <c r="HP3" s="47"/>
      <c r="HQ3" s="1039" t="s">
        <v>41</v>
      </c>
      <c r="HR3" s="1046"/>
      <c r="HS3" s="1039" t="s">
        <v>42</v>
      </c>
      <c r="HT3" s="1046"/>
      <c r="HU3" s="1039" t="s">
        <v>43</v>
      </c>
      <c r="HV3" s="1046"/>
      <c r="HW3" s="1039" t="s">
        <v>44</v>
      </c>
      <c r="HX3" s="1046"/>
      <c r="HY3" s="1039" t="s">
        <v>45</v>
      </c>
      <c r="HZ3" s="1040"/>
      <c r="IA3" s="24"/>
      <c r="IB3" s="25"/>
      <c r="IC3" s="24"/>
      <c r="ID3" s="36"/>
      <c r="IE3" s="48"/>
      <c r="IF3" s="48"/>
      <c r="IG3" s="48"/>
      <c r="IH3" s="1041" t="s">
        <v>46</v>
      </c>
      <c r="II3" s="1042"/>
      <c r="IJ3" s="1041" t="s">
        <v>47</v>
      </c>
      <c r="IK3" s="1042"/>
      <c r="IL3" s="1041" t="s">
        <v>48</v>
      </c>
      <c r="IM3" s="1042"/>
      <c r="IN3" s="1041" t="s">
        <v>49</v>
      </c>
      <c r="IO3" s="1042"/>
      <c r="IP3" s="1041" t="s">
        <v>50</v>
      </c>
      <c r="IQ3" s="1042"/>
      <c r="IR3" s="1041" t="s">
        <v>51</v>
      </c>
      <c r="IS3" s="1042"/>
      <c r="IT3" s="1041" t="s">
        <v>52</v>
      </c>
      <c r="IU3" s="1042"/>
      <c r="IV3" s="1041" t="s">
        <v>53</v>
      </c>
      <c r="IW3" s="1042"/>
      <c r="IX3" s="1041" t="s">
        <v>54</v>
      </c>
      <c r="IY3" s="1049"/>
      <c r="IZ3" s="1049"/>
      <c r="JA3" s="46"/>
      <c r="JB3" s="49"/>
      <c r="JC3" s="22"/>
      <c r="JD3" s="50"/>
      <c r="JE3" s="51"/>
      <c r="JF3" s="51"/>
      <c r="JG3" s="51"/>
      <c r="JH3" s="51"/>
      <c r="JI3" s="51"/>
      <c r="JJ3" s="51"/>
      <c r="JK3" s="51"/>
      <c r="JL3" s="51"/>
      <c r="JM3" s="51"/>
      <c r="JN3" s="24"/>
      <c r="JO3" s="25"/>
      <c r="JP3" s="52"/>
      <c r="JQ3" s="53"/>
      <c r="JR3" s="47"/>
      <c r="JS3" s="47"/>
      <c r="JT3" s="54"/>
      <c r="JU3" s="1039" t="s">
        <v>41</v>
      </c>
      <c r="JV3" s="1046"/>
      <c r="JW3" s="1039" t="s">
        <v>42</v>
      </c>
      <c r="JX3" s="1046"/>
      <c r="JY3" s="1039" t="s">
        <v>55</v>
      </c>
      <c r="JZ3" s="1046"/>
      <c r="KA3" s="1039" t="s">
        <v>56</v>
      </c>
      <c r="KB3" s="1046"/>
      <c r="KC3" s="1039" t="s">
        <v>45</v>
      </c>
      <c r="KD3" s="1040"/>
      <c r="KE3" s="52"/>
      <c r="KF3" s="55"/>
      <c r="KG3" s="52"/>
      <c r="KH3" s="56"/>
      <c r="KI3" s="47"/>
      <c r="KJ3" s="47"/>
      <c r="KK3" s="47"/>
      <c r="KL3" s="1039" t="s">
        <v>46</v>
      </c>
      <c r="KM3" s="1046"/>
      <c r="KN3" s="1039" t="s">
        <v>57</v>
      </c>
      <c r="KO3" s="1046"/>
      <c r="KP3" s="1039" t="s">
        <v>48</v>
      </c>
      <c r="KQ3" s="1046"/>
      <c r="KR3" s="1039" t="s">
        <v>49</v>
      </c>
      <c r="KS3" s="1046"/>
      <c r="KT3" s="1039" t="s">
        <v>50</v>
      </c>
      <c r="KU3" s="1046"/>
      <c r="KV3" s="1039" t="s">
        <v>51</v>
      </c>
      <c r="KW3" s="1046"/>
      <c r="KX3" s="1039" t="s">
        <v>52</v>
      </c>
      <c r="KY3" s="1046"/>
      <c r="KZ3" s="1039" t="s">
        <v>53</v>
      </c>
      <c r="LA3" s="1046"/>
      <c r="LB3" s="1039" t="s">
        <v>58</v>
      </c>
      <c r="LC3" s="1040"/>
      <c r="LD3" s="22"/>
      <c r="LE3" s="57"/>
      <c r="LG3" s="36"/>
      <c r="LH3" s="38"/>
      <c r="LI3" s="1039" t="s">
        <v>45</v>
      </c>
      <c r="LJ3" s="1040"/>
      <c r="LK3" s="1046"/>
      <c r="LL3" s="1039" t="s">
        <v>59</v>
      </c>
      <c r="LM3" s="1040"/>
      <c r="LN3" s="1046"/>
      <c r="LO3" s="1039" t="s">
        <v>60</v>
      </c>
      <c r="LP3" s="1040"/>
      <c r="LQ3" s="1046"/>
      <c r="LS3" s="21"/>
      <c r="LT3" s="14"/>
      <c r="LU3" s="58"/>
      <c r="LV3" s="58"/>
      <c r="LW3" s="58"/>
      <c r="LX3" s="14"/>
      <c r="LY3" s="21"/>
      <c r="LZ3" s="14"/>
      <c r="MA3" s="59"/>
      <c r="MB3" s="59"/>
      <c r="MC3" s="33"/>
      <c r="MD3" s="33"/>
      <c r="ME3" s="33"/>
      <c r="MF3" s="33"/>
      <c r="MG3" s="33"/>
      <c r="MI3" s="21"/>
      <c r="MJ3" s="14"/>
      <c r="MK3" s="59"/>
      <c r="ML3" s="33"/>
      <c r="MM3" s="33"/>
      <c r="MN3" s="33"/>
      <c r="MO3" s="33"/>
      <c r="MP3" s="33"/>
      <c r="MR3" s="21"/>
      <c r="MS3" s="14"/>
    </row>
    <row r="4" spans="1:405" s="68" customFormat="1" ht="53.1" customHeight="1" x14ac:dyDescent="0.25">
      <c r="A4" s="60"/>
      <c r="B4" s="61"/>
      <c r="C4" s="62"/>
      <c r="D4" s="62"/>
      <c r="E4" s="62"/>
      <c r="F4" s="63" t="s">
        <v>61</v>
      </c>
      <c r="G4" s="64" t="s">
        <v>62</v>
      </c>
      <c r="H4" s="63" t="s">
        <v>61</v>
      </c>
      <c r="I4" s="65" t="s">
        <v>62</v>
      </c>
      <c r="J4" s="64" t="s">
        <v>63</v>
      </c>
      <c r="K4" s="63" t="s">
        <v>61</v>
      </c>
      <c r="L4" s="65" t="s">
        <v>62</v>
      </c>
      <c r="M4" s="64" t="s">
        <v>64</v>
      </c>
      <c r="N4" s="63" t="s">
        <v>61</v>
      </c>
      <c r="O4" s="65" t="s">
        <v>62</v>
      </c>
      <c r="P4" s="64" t="s">
        <v>65</v>
      </c>
      <c r="Q4" s="66" t="s">
        <v>66</v>
      </c>
      <c r="R4" s="65" t="s">
        <v>67</v>
      </c>
      <c r="S4" s="46"/>
      <c r="T4" s="67"/>
      <c r="V4" s="69"/>
      <c r="W4" s="69"/>
      <c r="X4" s="70" t="s">
        <v>68</v>
      </c>
      <c r="Y4" s="70" t="s">
        <v>69</v>
      </c>
      <c r="Z4" s="70" t="s">
        <v>70</v>
      </c>
      <c r="AA4" s="70" t="s">
        <v>71</v>
      </c>
      <c r="AB4" s="71"/>
      <c r="AC4" s="60"/>
      <c r="AD4" s="72"/>
      <c r="AE4" s="60"/>
      <c r="AF4" s="62"/>
      <c r="AG4" s="62"/>
      <c r="AH4" s="61" t="str">
        <f>D14</f>
        <v>Direct Labour</v>
      </c>
      <c r="AI4" s="61" t="str">
        <f>D15</f>
        <v>Collector Labour</v>
      </c>
      <c r="AJ4" s="61" t="str">
        <f>D16</f>
        <v>Overhead Labour</v>
      </c>
      <c r="AL4" s="67"/>
      <c r="AM4" s="60"/>
      <c r="AN4" s="70"/>
      <c r="AO4" s="73"/>
      <c r="AP4" s="73"/>
      <c r="AQ4" s="73"/>
      <c r="AR4" s="73"/>
      <c r="AS4" s="74" t="s">
        <v>61</v>
      </c>
      <c r="AT4" s="75" t="s">
        <v>72</v>
      </c>
      <c r="AU4" s="70"/>
      <c r="AV4" s="74" t="s">
        <v>61</v>
      </c>
      <c r="AW4" s="75" t="s">
        <v>72</v>
      </c>
      <c r="AX4" s="75" t="s">
        <v>73</v>
      </c>
      <c r="AY4" s="70"/>
      <c r="AZ4" s="74" t="s">
        <v>61</v>
      </c>
      <c r="BA4" s="75" t="s">
        <v>72</v>
      </c>
      <c r="BB4" s="75" t="s">
        <v>73</v>
      </c>
      <c r="BC4" s="70"/>
      <c r="BD4" s="74" t="s">
        <v>61</v>
      </c>
      <c r="BE4" s="75" t="s">
        <v>72</v>
      </c>
      <c r="BF4" s="75" t="s">
        <v>73</v>
      </c>
      <c r="BG4" s="70"/>
      <c r="BH4" s="74" t="s">
        <v>61</v>
      </c>
      <c r="BI4" s="75" t="s">
        <v>72</v>
      </c>
      <c r="BJ4" s="75" t="s">
        <v>73</v>
      </c>
      <c r="BK4" s="70"/>
      <c r="BL4" s="74" t="s">
        <v>61</v>
      </c>
      <c r="BM4" s="75" t="s">
        <v>72</v>
      </c>
      <c r="BN4" s="75" t="s">
        <v>73</v>
      </c>
      <c r="BO4" s="70"/>
      <c r="BP4" s="74" t="s">
        <v>61</v>
      </c>
      <c r="BQ4" s="75" t="s">
        <v>72</v>
      </c>
      <c r="BR4" s="75" t="s">
        <v>73</v>
      </c>
      <c r="BS4" s="70"/>
      <c r="BT4" s="74" t="s">
        <v>61</v>
      </c>
      <c r="BU4" s="75" t="s">
        <v>72</v>
      </c>
      <c r="BV4" s="75" t="s">
        <v>74</v>
      </c>
      <c r="BW4" s="74" t="s">
        <v>61</v>
      </c>
      <c r="BX4" s="75" t="s">
        <v>72</v>
      </c>
      <c r="BY4" s="75" t="s">
        <v>74</v>
      </c>
      <c r="BZ4" s="74" t="s">
        <v>61</v>
      </c>
      <c r="CA4" s="75" t="s">
        <v>72</v>
      </c>
      <c r="CB4" s="75" t="s">
        <v>74</v>
      </c>
      <c r="CC4" s="74" t="s">
        <v>61</v>
      </c>
      <c r="CD4" s="75" t="s">
        <v>72</v>
      </c>
      <c r="CE4" s="75" t="s">
        <v>74</v>
      </c>
      <c r="CF4" s="74" t="s">
        <v>61</v>
      </c>
      <c r="CG4" s="75" t="s">
        <v>72</v>
      </c>
      <c r="CH4" s="75" t="s">
        <v>74</v>
      </c>
      <c r="CI4" s="76" t="s">
        <v>75</v>
      </c>
      <c r="CJ4" s="75" t="s">
        <v>76</v>
      </c>
      <c r="CK4" s="60"/>
      <c r="CL4" s="72"/>
      <c r="CM4" s="60"/>
      <c r="CN4" s="77"/>
      <c r="CO4" s="78"/>
      <c r="CP4" s="79" t="s">
        <v>77</v>
      </c>
      <c r="CQ4" s="80" t="s">
        <v>78</v>
      </c>
      <c r="CR4" s="61" t="s">
        <v>79</v>
      </c>
      <c r="CS4" s="81" t="s">
        <v>71</v>
      </c>
      <c r="CT4" s="79" t="s">
        <v>77</v>
      </c>
      <c r="CU4" s="80" t="s">
        <v>78</v>
      </c>
      <c r="CV4" s="61" t="s">
        <v>79</v>
      </c>
      <c r="CW4" s="81" t="s">
        <v>71</v>
      </c>
      <c r="CX4" s="82"/>
      <c r="CY4" s="72"/>
      <c r="CZ4" s="60"/>
      <c r="DA4" s="61"/>
      <c r="DB4" s="80" t="s">
        <v>80</v>
      </c>
      <c r="DC4" s="79" t="s">
        <v>81</v>
      </c>
      <c r="DD4" s="83" t="s">
        <v>82</v>
      </c>
      <c r="DE4" s="79" t="s">
        <v>81</v>
      </c>
      <c r="DF4" s="84" t="s">
        <v>82</v>
      </c>
      <c r="DG4" s="85" t="s">
        <v>83</v>
      </c>
      <c r="DH4" s="60"/>
      <c r="DI4" s="72"/>
      <c r="DJ4" s="60"/>
      <c r="DK4" s="61"/>
      <c r="DL4" s="86" t="s">
        <v>80</v>
      </c>
      <c r="DM4" s="79" t="s">
        <v>81</v>
      </c>
      <c r="DN4" s="83" t="s">
        <v>82</v>
      </c>
      <c r="DO4" s="79" t="s">
        <v>81</v>
      </c>
      <c r="DP4" s="83" t="s">
        <v>82</v>
      </c>
      <c r="DQ4" s="60"/>
      <c r="DR4" s="72"/>
      <c r="DS4" s="60"/>
      <c r="DT4" s="61"/>
      <c r="DU4" s="87"/>
      <c r="DV4" s="61" t="s">
        <v>68</v>
      </c>
      <c r="DW4" s="61" t="s">
        <v>69</v>
      </c>
      <c r="DX4" s="61" t="s">
        <v>70</v>
      </c>
      <c r="DY4" s="88" t="s">
        <v>71</v>
      </c>
      <c r="DZ4" s="79" t="s">
        <v>68</v>
      </c>
      <c r="EA4" s="61" t="s">
        <v>69</v>
      </c>
      <c r="EB4" s="61" t="s">
        <v>70</v>
      </c>
      <c r="EC4" s="89" t="s">
        <v>71</v>
      </c>
      <c r="ED4" s="90"/>
      <c r="EE4" s="72"/>
      <c r="EF4" s="60"/>
      <c r="EG4" s="62"/>
      <c r="EH4" s="62"/>
      <c r="EI4" s="91" t="s">
        <v>68</v>
      </c>
      <c r="EJ4" s="92" t="s">
        <v>69</v>
      </c>
      <c r="EK4" s="92" t="s">
        <v>70</v>
      </c>
      <c r="EL4" s="93" t="s">
        <v>71</v>
      </c>
      <c r="EM4" s="91" t="s">
        <v>68</v>
      </c>
      <c r="EN4" s="92" t="s">
        <v>69</v>
      </c>
      <c r="EO4" s="92" t="s">
        <v>70</v>
      </c>
      <c r="EP4" s="93" t="s">
        <v>71</v>
      </c>
      <c r="EQ4" s="94"/>
      <c r="ER4" s="95"/>
      <c r="ES4" s="60"/>
      <c r="ET4" s="62"/>
      <c r="EU4" s="96"/>
      <c r="EV4" s="92" t="s">
        <v>68</v>
      </c>
      <c r="EW4" s="92" t="s">
        <v>69</v>
      </c>
      <c r="EX4" s="92" t="s">
        <v>70</v>
      </c>
      <c r="EY4" s="93" t="s">
        <v>71</v>
      </c>
      <c r="EZ4" s="92" t="s">
        <v>68</v>
      </c>
      <c r="FA4" s="92" t="s">
        <v>69</v>
      </c>
      <c r="FB4" s="92" t="s">
        <v>70</v>
      </c>
      <c r="FC4" s="93" t="s">
        <v>71</v>
      </c>
      <c r="FD4" s="97" t="s">
        <v>84</v>
      </c>
      <c r="FE4" s="97" t="s">
        <v>85</v>
      </c>
      <c r="FF4" s="98" t="s">
        <v>86</v>
      </c>
      <c r="FG4" s="94"/>
      <c r="FH4" s="95"/>
      <c r="FI4" s="60"/>
      <c r="FJ4" s="73"/>
      <c r="FK4" s="73"/>
      <c r="FL4" s="99"/>
      <c r="FM4" s="79" t="s">
        <v>68</v>
      </c>
      <c r="FN4" s="61" t="s">
        <v>69</v>
      </c>
      <c r="FO4" s="61" t="s">
        <v>70</v>
      </c>
      <c r="FP4" s="100" t="s">
        <v>71</v>
      </c>
      <c r="FQ4" s="79" t="str">
        <f>FM4</f>
        <v>Small</v>
      </c>
      <c r="FR4" s="61" t="s">
        <v>69</v>
      </c>
      <c r="FS4" s="61" t="str">
        <f>FO4</f>
        <v>Large</v>
      </c>
      <c r="FT4" s="61" t="s">
        <v>71</v>
      </c>
      <c r="FU4" s="81" t="s">
        <v>87</v>
      </c>
      <c r="FV4" s="101"/>
      <c r="FW4" s="102"/>
      <c r="FX4" s="60"/>
      <c r="FY4" s="70"/>
      <c r="FZ4" s="103"/>
      <c r="GA4" s="61" t="s">
        <v>68</v>
      </c>
      <c r="GB4" s="61" t="s">
        <v>69</v>
      </c>
      <c r="GC4" s="61" t="s">
        <v>70</v>
      </c>
      <c r="GD4" s="100" t="s">
        <v>88</v>
      </c>
      <c r="GE4" s="79" t="s">
        <v>68</v>
      </c>
      <c r="GF4" s="61" t="s">
        <v>69</v>
      </c>
      <c r="GG4" s="61" t="s">
        <v>70</v>
      </c>
      <c r="GH4" s="100" t="s">
        <v>88</v>
      </c>
      <c r="GI4" s="104"/>
      <c r="GJ4" s="105"/>
      <c r="GK4" s="60"/>
      <c r="GL4" s="70"/>
      <c r="GM4" s="99"/>
      <c r="GN4" s="79" t="s">
        <v>68</v>
      </c>
      <c r="GO4" s="61" t="s">
        <v>69</v>
      </c>
      <c r="GP4" s="61" t="s">
        <v>70</v>
      </c>
      <c r="GQ4" s="100" t="s">
        <v>71</v>
      </c>
      <c r="GR4" s="79" t="s">
        <v>68</v>
      </c>
      <c r="GS4" s="61" t="s">
        <v>69</v>
      </c>
      <c r="GT4" s="61" t="s">
        <v>70</v>
      </c>
      <c r="GU4" s="100" t="s">
        <v>71</v>
      </c>
      <c r="GV4" s="60"/>
      <c r="GW4" s="72"/>
      <c r="GX4" s="60"/>
      <c r="GY4" s="60"/>
      <c r="GZ4" s="106"/>
      <c r="HA4" s="75" t="s">
        <v>89</v>
      </c>
      <c r="HB4" s="75" t="s">
        <v>90</v>
      </c>
      <c r="HC4" s="75" t="s">
        <v>91</v>
      </c>
      <c r="HD4" s="107" t="s">
        <v>92</v>
      </c>
      <c r="HE4" s="108" t="s">
        <v>93</v>
      </c>
      <c r="HF4" s="108" t="s">
        <v>94</v>
      </c>
      <c r="HG4" s="108" t="s">
        <v>95</v>
      </c>
      <c r="HH4" s="108" t="s">
        <v>96</v>
      </c>
      <c r="HI4" s="108" t="s">
        <v>97</v>
      </c>
      <c r="HJ4" s="108" t="s">
        <v>98</v>
      </c>
      <c r="HK4" s="52"/>
      <c r="HL4" s="102"/>
      <c r="HM4" s="52"/>
      <c r="HN4" s="75"/>
      <c r="HO4" s="109" t="s">
        <v>89</v>
      </c>
      <c r="HP4" s="110" t="str">
        <f>HG4</f>
        <v>Volume Ratio</v>
      </c>
      <c r="HQ4" s="111" t="s">
        <v>99</v>
      </c>
      <c r="HR4" s="85" t="s">
        <v>100</v>
      </c>
      <c r="HS4" s="111" t="str">
        <f>IT4</f>
        <v>Study System</v>
      </c>
      <c r="HT4" s="85" t="s">
        <v>101</v>
      </c>
      <c r="HU4" s="111" t="str">
        <f>HS4</f>
        <v>Study System</v>
      </c>
      <c r="HV4" s="85" t="s">
        <v>101</v>
      </c>
      <c r="HW4" s="111" t="str">
        <f>HU4</f>
        <v>Study System</v>
      </c>
      <c r="HX4" s="85" t="s">
        <v>101</v>
      </c>
      <c r="HY4" s="111" t="s">
        <v>102</v>
      </c>
      <c r="HZ4" s="112" t="s">
        <v>103</v>
      </c>
      <c r="IA4" s="113"/>
      <c r="IB4" s="114"/>
      <c r="IC4" s="113"/>
      <c r="ID4" s="87"/>
      <c r="IE4" s="115" t="s">
        <v>89</v>
      </c>
      <c r="IF4" s="116" t="s">
        <v>94</v>
      </c>
      <c r="IG4" s="116" t="s">
        <v>95</v>
      </c>
      <c r="IH4" s="87" t="str">
        <f>HQ4</f>
        <v>Study System</v>
      </c>
      <c r="II4" s="117" t="s">
        <v>104</v>
      </c>
      <c r="IJ4" s="118" t="str">
        <f>IH4</f>
        <v>Study System</v>
      </c>
      <c r="IK4" s="117" t="s">
        <v>105</v>
      </c>
      <c r="IL4" s="118" t="str">
        <f>IH4</f>
        <v>Study System</v>
      </c>
      <c r="IM4" s="117" t="s">
        <v>106</v>
      </c>
      <c r="IN4" s="118" t="str">
        <f>IL4</f>
        <v>Study System</v>
      </c>
      <c r="IO4" s="117" t="s">
        <v>107</v>
      </c>
      <c r="IP4" s="118" t="str">
        <f>IN4</f>
        <v>Study System</v>
      </c>
      <c r="IQ4" s="117" t="s">
        <v>108</v>
      </c>
      <c r="IR4" s="118" t="str">
        <f>IP4</f>
        <v>Study System</v>
      </c>
      <c r="IS4" s="117" t="s">
        <v>109</v>
      </c>
      <c r="IT4" s="118" t="str">
        <f>IN4</f>
        <v>Study System</v>
      </c>
      <c r="IU4" s="117" t="s">
        <v>110</v>
      </c>
      <c r="IV4" s="118" t="str">
        <f>IT4</f>
        <v>Study System</v>
      </c>
      <c r="IW4" s="117" t="s">
        <v>111</v>
      </c>
      <c r="IX4" s="118" t="s">
        <v>112</v>
      </c>
      <c r="IY4" s="119" t="s">
        <v>113</v>
      </c>
      <c r="IZ4" s="119" t="s">
        <v>114</v>
      </c>
      <c r="JA4" s="113"/>
      <c r="JB4" s="114"/>
      <c r="JC4" s="120"/>
      <c r="JD4" s="121"/>
      <c r="JE4" s="65" t="s">
        <v>89</v>
      </c>
      <c r="JF4" s="122" t="s">
        <v>115</v>
      </c>
      <c r="JG4" s="122" t="s">
        <v>116</v>
      </c>
      <c r="JH4" s="122" t="s">
        <v>117</v>
      </c>
      <c r="JI4" s="122" t="s">
        <v>118</v>
      </c>
      <c r="JJ4" s="122" t="s">
        <v>94</v>
      </c>
      <c r="JK4" s="122" t="s">
        <v>95</v>
      </c>
      <c r="JL4" s="65" t="s">
        <v>119</v>
      </c>
      <c r="JM4" s="122" t="s">
        <v>120</v>
      </c>
      <c r="JN4" s="52"/>
      <c r="JO4" s="55"/>
      <c r="JP4" s="123"/>
      <c r="JQ4" s="75"/>
      <c r="JR4" s="76" t="s">
        <v>89</v>
      </c>
      <c r="JS4" s="110" t="str">
        <f>JM4</f>
        <v>FY Quarter</v>
      </c>
      <c r="JT4" s="110" t="str">
        <f>JL4</f>
        <v>Total System Ratio</v>
      </c>
      <c r="JU4" s="111" t="s">
        <v>25</v>
      </c>
      <c r="JV4" s="85" t="s">
        <v>121</v>
      </c>
      <c r="JW4" s="111" t="s">
        <v>25</v>
      </c>
      <c r="JX4" s="85" t="str">
        <f>KY4</f>
        <v>Target Year</v>
      </c>
      <c r="JY4" s="111" t="str">
        <f>JW4</f>
        <v>Total System</v>
      </c>
      <c r="JZ4" s="85" t="str">
        <f>JX4</f>
        <v>Target Year</v>
      </c>
      <c r="KA4" s="112" t="s">
        <v>25</v>
      </c>
      <c r="KB4" s="112" t="s">
        <v>121</v>
      </c>
      <c r="KC4" s="111" t="s">
        <v>122</v>
      </c>
      <c r="KD4" s="112" t="s">
        <v>123</v>
      </c>
      <c r="KE4" s="123"/>
      <c r="KF4" s="124"/>
      <c r="KG4" s="123"/>
      <c r="KH4" s="87"/>
      <c r="KI4" s="109" t="s">
        <v>124</v>
      </c>
      <c r="KJ4" s="125" t="s">
        <v>94</v>
      </c>
      <c r="KK4" s="110" t="s">
        <v>95</v>
      </c>
      <c r="KL4" s="111" t="s">
        <v>125</v>
      </c>
      <c r="KM4" s="85" t="s">
        <v>121</v>
      </c>
      <c r="KN4" s="111" t="s">
        <v>125</v>
      </c>
      <c r="KO4" s="85" t="str">
        <f>KM4</f>
        <v>Target Year</v>
      </c>
      <c r="KP4" s="111" t="s">
        <v>125</v>
      </c>
      <c r="KQ4" s="85" t="str">
        <f>KO4</f>
        <v>Target Year</v>
      </c>
      <c r="KR4" s="111" t="s">
        <v>125</v>
      </c>
      <c r="KS4" s="85" t="str">
        <f>KQ4</f>
        <v>Target Year</v>
      </c>
      <c r="KT4" s="111" t="s">
        <v>125</v>
      </c>
      <c r="KU4" s="85" t="str">
        <f>KQ4</f>
        <v>Target Year</v>
      </c>
      <c r="KV4" s="111" t="s">
        <v>125</v>
      </c>
      <c r="KW4" s="85" t="str">
        <f>KS4</f>
        <v>Target Year</v>
      </c>
      <c r="KX4" s="111" t="s">
        <v>125</v>
      </c>
      <c r="KY4" s="85" t="str">
        <f>KS4</f>
        <v>Target Year</v>
      </c>
      <c r="KZ4" s="111" t="s">
        <v>125</v>
      </c>
      <c r="LA4" s="85" t="str">
        <f>KY4</f>
        <v>Target Year</v>
      </c>
      <c r="LB4" s="111" t="s">
        <v>25</v>
      </c>
      <c r="LC4" s="112" t="s">
        <v>423</v>
      </c>
      <c r="LD4" s="126"/>
      <c r="LE4" s="127"/>
      <c r="LG4" s="87"/>
      <c r="LH4" s="80" t="s">
        <v>89</v>
      </c>
      <c r="LI4" s="111" t="s">
        <v>99</v>
      </c>
      <c r="LJ4" s="80" t="s">
        <v>25</v>
      </c>
      <c r="LK4" s="85" t="s">
        <v>121</v>
      </c>
      <c r="LL4" s="111" t="s">
        <v>99</v>
      </c>
      <c r="LM4" s="80" t="s">
        <v>25</v>
      </c>
      <c r="LN4" s="85" t="s">
        <v>121</v>
      </c>
      <c r="LO4" s="111" t="s">
        <v>99</v>
      </c>
      <c r="LP4" s="80" t="s">
        <v>25</v>
      </c>
      <c r="LQ4" s="85" t="s">
        <v>121</v>
      </c>
      <c r="LR4" s="60"/>
      <c r="LS4" s="72"/>
      <c r="LT4" s="60"/>
      <c r="LU4" s="80"/>
      <c r="LV4" s="80" t="s">
        <v>126</v>
      </c>
      <c r="LW4" s="80" t="s">
        <v>127</v>
      </c>
      <c r="LX4" s="60"/>
      <c r="LY4" s="72"/>
      <c r="LZ4" s="60"/>
      <c r="MA4" s="61"/>
      <c r="MB4" s="62"/>
      <c r="MC4" s="1047" t="s">
        <v>128</v>
      </c>
      <c r="MD4" s="1047"/>
      <c r="ME4" s="128"/>
      <c r="MF4" s="1048" t="s">
        <v>129</v>
      </c>
      <c r="MG4" s="1047"/>
      <c r="MH4" s="60"/>
      <c r="MI4" s="72"/>
      <c r="MJ4" s="60"/>
      <c r="MK4" s="61"/>
      <c r="ML4" s="129"/>
      <c r="MM4" s="128" t="s">
        <v>130</v>
      </c>
      <c r="MN4" s="129" t="s">
        <v>131</v>
      </c>
      <c r="MO4" s="128" t="s">
        <v>132</v>
      </c>
      <c r="MP4" s="128" t="s">
        <v>132</v>
      </c>
      <c r="MQ4" s="60"/>
      <c r="MR4" s="72"/>
      <c r="MS4" s="6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0"/>
      <c r="NT4" s="130"/>
      <c r="NU4" s="130"/>
      <c r="NV4" s="130"/>
      <c r="NW4" s="130"/>
      <c r="NX4" s="130"/>
      <c r="NY4" s="130"/>
      <c r="NZ4" s="130"/>
      <c r="OA4" s="130"/>
      <c r="OB4" s="130"/>
      <c r="OC4" s="130"/>
      <c r="OD4" s="130"/>
      <c r="OE4" s="130"/>
      <c r="OF4" s="130"/>
      <c r="OG4" s="130"/>
      <c r="OH4" s="130"/>
      <c r="OI4" s="130"/>
      <c r="OJ4" s="130"/>
      <c r="OK4" s="130"/>
      <c r="OL4" s="130"/>
      <c r="OM4" s="130"/>
      <c r="ON4" s="130"/>
      <c r="OO4" s="130"/>
    </row>
    <row r="5" spans="1:405" s="141" customFormat="1" ht="20.25" customHeight="1" x14ac:dyDescent="0.3">
      <c r="A5" s="131"/>
      <c r="B5" s="132" t="s">
        <v>133</v>
      </c>
      <c r="C5" s="133"/>
      <c r="D5" s="134"/>
      <c r="E5" s="135"/>
      <c r="F5" s="136" t="s">
        <v>134</v>
      </c>
      <c r="G5" s="137" t="s">
        <v>135</v>
      </c>
      <c r="H5" s="138" t="s">
        <v>136</v>
      </c>
      <c r="I5" s="132" t="s">
        <v>137</v>
      </c>
      <c r="J5" s="137" t="s">
        <v>138</v>
      </c>
      <c r="K5" s="136" t="s">
        <v>139</v>
      </c>
      <c r="L5" s="139" t="s">
        <v>140</v>
      </c>
      <c r="M5" s="137" t="s">
        <v>141</v>
      </c>
      <c r="N5" s="136" t="s">
        <v>142</v>
      </c>
      <c r="O5" s="139" t="s">
        <v>143</v>
      </c>
      <c r="P5" s="137" t="s">
        <v>144</v>
      </c>
      <c r="Q5" s="140" t="s">
        <v>145</v>
      </c>
      <c r="R5" s="132" t="s">
        <v>146</v>
      </c>
      <c r="T5" s="142"/>
      <c r="U5" s="131"/>
      <c r="V5" s="143" t="s">
        <v>133</v>
      </c>
      <c r="W5" s="144" t="s">
        <v>134</v>
      </c>
      <c r="X5" s="143" t="s">
        <v>135</v>
      </c>
      <c r="Y5" s="145" t="s">
        <v>147</v>
      </c>
      <c r="Z5" s="143" t="s">
        <v>137</v>
      </c>
      <c r="AA5" s="143" t="s">
        <v>138</v>
      </c>
      <c r="AB5" s="123"/>
      <c r="AC5" s="146"/>
      <c r="AD5" s="142"/>
      <c r="AE5" s="131"/>
      <c r="AF5" s="143" t="s">
        <v>133</v>
      </c>
      <c r="AG5" s="144" t="s">
        <v>134</v>
      </c>
      <c r="AH5" s="143" t="s">
        <v>135</v>
      </c>
      <c r="AI5" s="145" t="s">
        <v>147</v>
      </c>
      <c r="AJ5" s="143" t="s">
        <v>137</v>
      </c>
      <c r="AK5" s="131"/>
      <c r="AL5" s="147"/>
      <c r="AM5" s="131"/>
      <c r="AN5" s="143" t="s">
        <v>133</v>
      </c>
      <c r="AO5" s="6"/>
      <c r="AP5" s="148"/>
      <c r="AQ5" s="148"/>
      <c r="AR5" s="149"/>
      <c r="AS5" s="143" t="s">
        <v>134</v>
      </c>
      <c r="AT5" s="143" t="s">
        <v>135</v>
      </c>
      <c r="AU5" s="143"/>
      <c r="AV5" s="143">
        <v>0</v>
      </c>
      <c r="AW5" s="143" t="s">
        <v>135</v>
      </c>
      <c r="AX5" s="143" t="s">
        <v>147</v>
      </c>
      <c r="AY5" s="143"/>
      <c r="AZ5" s="143" t="s">
        <v>137</v>
      </c>
      <c r="BA5" s="143" t="s">
        <v>138</v>
      </c>
      <c r="BB5" s="143" t="s">
        <v>139</v>
      </c>
      <c r="BC5" s="143"/>
      <c r="BD5" s="143" t="s">
        <v>140</v>
      </c>
      <c r="BE5" s="143" t="s">
        <v>141</v>
      </c>
      <c r="BF5" s="143" t="s">
        <v>142</v>
      </c>
      <c r="BG5" s="143"/>
      <c r="BH5" s="143" t="s">
        <v>143</v>
      </c>
      <c r="BI5" s="143" t="s">
        <v>144</v>
      </c>
      <c r="BJ5" s="143" t="s">
        <v>145</v>
      </c>
      <c r="BK5" s="143"/>
      <c r="BL5" s="143" t="s">
        <v>146</v>
      </c>
      <c r="BM5" s="143" t="s">
        <v>148</v>
      </c>
      <c r="BN5" s="143" t="s">
        <v>149</v>
      </c>
      <c r="BO5" s="143"/>
      <c r="BP5" s="143" t="s">
        <v>150</v>
      </c>
      <c r="BQ5" s="143" t="s">
        <v>151</v>
      </c>
      <c r="BR5" s="143" t="s">
        <v>152</v>
      </c>
      <c r="BS5" s="143"/>
      <c r="BT5" s="143" t="s">
        <v>153</v>
      </c>
      <c r="BU5" s="143" t="s">
        <v>154</v>
      </c>
      <c r="BV5" s="143" t="s">
        <v>155</v>
      </c>
      <c r="BW5" s="144" t="s">
        <v>134</v>
      </c>
      <c r="BX5" s="143" t="s">
        <v>135</v>
      </c>
      <c r="BY5" s="143" t="s">
        <v>136</v>
      </c>
      <c r="BZ5" s="144" t="s">
        <v>134</v>
      </c>
      <c r="CA5" s="143" t="s">
        <v>135</v>
      </c>
      <c r="CB5" s="143" t="s">
        <v>136</v>
      </c>
      <c r="CC5" s="143" t="s">
        <v>134</v>
      </c>
      <c r="CD5" s="143" t="s">
        <v>135</v>
      </c>
      <c r="CE5" s="143"/>
      <c r="CF5" s="150" t="s">
        <v>137</v>
      </c>
      <c r="CG5" s="143" t="s">
        <v>138</v>
      </c>
      <c r="CH5" s="143" t="s">
        <v>139</v>
      </c>
      <c r="CI5" s="151" t="s">
        <v>140</v>
      </c>
      <c r="CJ5" s="143" t="s">
        <v>141</v>
      </c>
      <c r="CK5" s="131"/>
      <c r="CL5" s="142"/>
      <c r="CM5" s="131"/>
      <c r="CN5" s="143" t="s">
        <v>133</v>
      </c>
      <c r="CO5" s="152"/>
      <c r="CP5" s="143" t="s">
        <v>134</v>
      </c>
      <c r="CQ5" s="143" t="s">
        <v>135</v>
      </c>
      <c r="CR5" s="143" t="s">
        <v>147</v>
      </c>
      <c r="CS5" s="153" t="s">
        <v>137</v>
      </c>
      <c r="CT5" s="143" t="s">
        <v>138</v>
      </c>
      <c r="CU5" s="143" t="s">
        <v>139</v>
      </c>
      <c r="CV5" s="143" t="s">
        <v>140</v>
      </c>
      <c r="CW5" s="143" t="s">
        <v>141</v>
      </c>
      <c r="CX5" s="154"/>
      <c r="CY5" s="102"/>
      <c r="CZ5" s="131"/>
      <c r="DA5" s="143" t="s">
        <v>133</v>
      </c>
      <c r="DB5" s="155"/>
      <c r="DC5" s="143" t="s">
        <v>134</v>
      </c>
      <c r="DD5" s="156" t="s">
        <v>135</v>
      </c>
      <c r="DE5" s="143" t="s">
        <v>147</v>
      </c>
      <c r="DF5" s="157" t="s">
        <v>137</v>
      </c>
      <c r="DG5" s="157" t="s">
        <v>138</v>
      </c>
      <c r="DH5" s="131"/>
      <c r="DI5" s="102"/>
      <c r="DJ5" s="131"/>
      <c r="DK5" s="143" t="s">
        <v>133</v>
      </c>
      <c r="DL5" s="155"/>
      <c r="DM5" s="143" t="s">
        <v>134</v>
      </c>
      <c r="DN5" s="156" t="s">
        <v>135</v>
      </c>
      <c r="DO5" s="143" t="s">
        <v>147</v>
      </c>
      <c r="DP5" s="157" t="s">
        <v>137</v>
      </c>
      <c r="DQ5" s="131"/>
      <c r="DR5" s="142"/>
      <c r="DS5" s="131"/>
      <c r="DT5" s="143" t="s">
        <v>133</v>
      </c>
      <c r="DU5" s="158"/>
      <c r="DV5" s="157" t="s">
        <v>134</v>
      </c>
      <c r="DW5" s="157" t="s">
        <v>135</v>
      </c>
      <c r="DX5" s="157" t="s">
        <v>147</v>
      </c>
      <c r="DY5" s="157" t="s">
        <v>137</v>
      </c>
      <c r="DZ5" s="159" t="s">
        <v>138</v>
      </c>
      <c r="EA5" s="157" t="s">
        <v>139</v>
      </c>
      <c r="EB5" s="157" t="s">
        <v>140</v>
      </c>
      <c r="EC5" s="157" t="s">
        <v>141</v>
      </c>
      <c r="ED5" s="131"/>
      <c r="EE5" s="142"/>
      <c r="EF5" s="131"/>
      <c r="EG5" s="143" t="s">
        <v>133</v>
      </c>
      <c r="EH5" s="152"/>
      <c r="EI5" s="143" t="s">
        <v>134</v>
      </c>
      <c r="EJ5" s="143" t="s">
        <v>135</v>
      </c>
      <c r="EK5" s="143" t="s">
        <v>147</v>
      </c>
      <c r="EL5" s="153" t="s">
        <v>137</v>
      </c>
      <c r="EM5" s="143" t="s">
        <v>138</v>
      </c>
      <c r="EN5" s="143" t="s">
        <v>139</v>
      </c>
      <c r="EO5" s="143" t="s">
        <v>140</v>
      </c>
      <c r="EP5" s="143" t="s">
        <v>141</v>
      </c>
      <c r="EQ5" s="160"/>
      <c r="ER5" s="161"/>
      <c r="ES5" s="131"/>
      <c r="ET5" s="143" t="s">
        <v>133</v>
      </c>
      <c r="EU5" s="152"/>
      <c r="EV5" s="143" t="s">
        <v>134</v>
      </c>
      <c r="EW5" s="143" t="s">
        <v>135</v>
      </c>
      <c r="EX5" s="143" t="s">
        <v>147</v>
      </c>
      <c r="EY5" s="153" t="s">
        <v>137</v>
      </c>
      <c r="EZ5" s="143" t="s">
        <v>138</v>
      </c>
      <c r="FA5" s="143" t="s">
        <v>139</v>
      </c>
      <c r="FB5" s="143" t="s">
        <v>140</v>
      </c>
      <c r="FC5" s="153" t="s">
        <v>141</v>
      </c>
      <c r="FD5" s="143" t="s">
        <v>142</v>
      </c>
      <c r="FE5" s="143" t="s">
        <v>143</v>
      </c>
      <c r="FF5" s="143" t="s">
        <v>144</v>
      </c>
      <c r="FG5" s="160"/>
      <c r="FH5" s="161"/>
      <c r="FI5" s="131"/>
      <c r="FJ5" s="143" t="s">
        <v>133</v>
      </c>
      <c r="FK5" s="148"/>
      <c r="FL5" s="162"/>
      <c r="FM5" s="143" t="s">
        <v>134</v>
      </c>
      <c r="FN5" s="143" t="s">
        <v>135</v>
      </c>
      <c r="FO5" s="143" t="s">
        <v>147</v>
      </c>
      <c r="FP5" s="153" t="s">
        <v>137</v>
      </c>
      <c r="FQ5" s="143" t="s">
        <v>138</v>
      </c>
      <c r="FR5" s="143" t="s">
        <v>139</v>
      </c>
      <c r="FS5" s="143" t="s">
        <v>140</v>
      </c>
      <c r="FT5" s="143" t="s">
        <v>141</v>
      </c>
      <c r="FU5" s="143" t="s">
        <v>142</v>
      </c>
      <c r="FV5" s="160"/>
      <c r="FW5" s="102"/>
      <c r="FX5" s="131"/>
      <c r="FY5" s="143" t="s">
        <v>133</v>
      </c>
      <c r="FZ5" s="163"/>
      <c r="GA5" s="143" t="s">
        <v>134</v>
      </c>
      <c r="GB5" s="143" t="s">
        <v>135</v>
      </c>
      <c r="GC5" s="143" t="s">
        <v>147</v>
      </c>
      <c r="GD5" s="153" t="s">
        <v>137</v>
      </c>
      <c r="GE5" s="143" t="s">
        <v>138</v>
      </c>
      <c r="GF5" s="143" t="s">
        <v>139</v>
      </c>
      <c r="GG5" s="143" t="s">
        <v>140</v>
      </c>
      <c r="GH5" s="143" t="s">
        <v>141</v>
      </c>
      <c r="GI5" s="164"/>
      <c r="GJ5" s="142"/>
      <c r="GK5" s="131"/>
      <c r="GL5" s="143" t="s">
        <v>133</v>
      </c>
      <c r="GM5" s="149"/>
      <c r="GN5" s="143" t="s">
        <v>134</v>
      </c>
      <c r="GO5" s="143" t="s">
        <v>135</v>
      </c>
      <c r="GP5" s="143" t="s">
        <v>147</v>
      </c>
      <c r="GQ5" s="153" t="s">
        <v>137</v>
      </c>
      <c r="GR5" s="143" t="s">
        <v>138</v>
      </c>
      <c r="GS5" s="143" t="s">
        <v>139</v>
      </c>
      <c r="GT5" s="143" t="s">
        <v>140</v>
      </c>
      <c r="GU5" s="143" t="s">
        <v>141</v>
      </c>
      <c r="GV5" s="131"/>
      <c r="GW5" s="142"/>
      <c r="GX5" s="131"/>
      <c r="GY5" s="131"/>
      <c r="GZ5" s="165" t="s">
        <v>156</v>
      </c>
      <c r="HA5" s="143" t="s">
        <v>134</v>
      </c>
      <c r="HB5" s="143" t="s">
        <v>135</v>
      </c>
      <c r="HC5" s="143" t="s">
        <v>147</v>
      </c>
      <c r="HD5" s="143" t="s">
        <v>137</v>
      </c>
      <c r="HE5" s="143" t="s">
        <v>138</v>
      </c>
      <c r="HF5" s="143" t="s">
        <v>139</v>
      </c>
      <c r="HG5" s="143" t="s">
        <v>140</v>
      </c>
      <c r="HH5" s="143" t="s">
        <v>141</v>
      </c>
      <c r="HI5" s="143" t="s">
        <v>142</v>
      </c>
      <c r="HJ5" s="143" t="s">
        <v>143</v>
      </c>
      <c r="HK5" s="123"/>
      <c r="HL5" s="49"/>
      <c r="HM5" s="123"/>
      <c r="HN5" s="166" t="s">
        <v>133</v>
      </c>
      <c r="HO5" s="167" t="s">
        <v>134</v>
      </c>
      <c r="HP5" s="153" t="s">
        <v>135</v>
      </c>
      <c r="HQ5" s="143" t="s">
        <v>147</v>
      </c>
      <c r="HR5" s="153" t="s">
        <v>137</v>
      </c>
      <c r="HS5" s="143" t="s">
        <v>138</v>
      </c>
      <c r="HT5" s="153" t="s">
        <v>139</v>
      </c>
      <c r="HU5" s="143" t="s">
        <v>140</v>
      </c>
      <c r="HV5" s="153" t="s">
        <v>141</v>
      </c>
      <c r="HW5" s="143" t="s">
        <v>142</v>
      </c>
      <c r="HX5" s="143" t="s">
        <v>143</v>
      </c>
      <c r="HY5" s="143" t="s">
        <v>144</v>
      </c>
      <c r="HZ5" s="143" t="s">
        <v>145</v>
      </c>
      <c r="IA5" s="123"/>
      <c r="IB5" s="124"/>
      <c r="IC5" s="123"/>
      <c r="ID5" s="168" t="s">
        <v>156</v>
      </c>
      <c r="IE5" s="169" t="s">
        <v>134</v>
      </c>
      <c r="IF5" s="170" t="s">
        <v>135</v>
      </c>
      <c r="IG5" s="169" t="s">
        <v>147</v>
      </c>
      <c r="IH5" s="171" t="s">
        <v>137</v>
      </c>
      <c r="II5" s="170" t="s">
        <v>138</v>
      </c>
      <c r="IJ5" s="171" t="s">
        <v>139</v>
      </c>
      <c r="IK5" s="170" t="s">
        <v>140</v>
      </c>
      <c r="IL5" s="171" t="s">
        <v>141</v>
      </c>
      <c r="IM5" s="170" t="s">
        <v>142</v>
      </c>
      <c r="IN5" s="171" t="s">
        <v>143</v>
      </c>
      <c r="IO5" s="170" t="s">
        <v>144</v>
      </c>
      <c r="IP5" s="171" t="s">
        <v>145</v>
      </c>
      <c r="IQ5" s="170" t="s">
        <v>146</v>
      </c>
      <c r="IR5" s="171" t="s">
        <v>148</v>
      </c>
      <c r="IS5" s="170" t="s">
        <v>149</v>
      </c>
      <c r="IT5" s="171" t="s">
        <v>150</v>
      </c>
      <c r="IU5" s="170" t="s">
        <v>151</v>
      </c>
      <c r="IV5" s="172" t="s">
        <v>157</v>
      </c>
      <c r="IW5" s="170" t="s">
        <v>153</v>
      </c>
      <c r="IX5" s="171" t="s">
        <v>154</v>
      </c>
      <c r="IY5" s="171" t="s">
        <v>155</v>
      </c>
      <c r="IZ5" s="171" t="s">
        <v>158</v>
      </c>
      <c r="JA5" s="123"/>
      <c r="JB5" s="124"/>
      <c r="JC5" s="11"/>
      <c r="JD5" s="165" t="s">
        <v>133</v>
      </c>
      <c r="JE5" s="143" t="s">
        <v>134</v>
      </c>
      <c r="JF5" s="143" t="s">
        <v>135</v>
      </c>
      <c r="JG5" s="143" t="s">
        <v>159</v>
      </c>
      <c r="JH5" s="143" t="s">
        <v>137</v>
      </c>
      <c r="JI5" s="143" t="s">
        <v>160</v>
      </c>
      <c r="JJ5" s="143" t="s">
        <v>139</v>
      </c>
      <c r="JK5" s="143" t="s">
        <v>140</v>
      </c>
      <c r="JL5" s="143" t="s">
        <v>141</v>
      </c>
      <c r="JM5" s="143" t="s">
        <v>142</v>
      </c>
      <c r="JN5" s="123"/>
      <c r="JO5" s="124"/>
      <c r="JP5" s="52"/>
      <c r="JQ5" s="165" t="s">
        <v>133</v>
      </c>
      <c r="JR5" s="143" t="str">
        <f>JE5</f>
        <v>(a)</v>
      </c>
      <c r="JS5" s="143" t="s">
        <v>135</v>
      </c>
      <c r="JT5" s="143" t="s">
        <v>159</v>
      </c>
      <c r="JU5" s="143" t="s">
        <v>137</v>
      </c>
      <c r="JV5" s="143" t="s">
        <v>160</v>
      </c>
      <c r="JW5" s="143" t="s">
        <v>139</v>
      </c>
      <c r="JX5" s="143" t="s">
        <v>140</v>
      </c>
      <c r="JY5" s="143" t="s">
        <v>141</v>
      </c>
      <c r="JZ5" s="143" t="s">
        <v>142</v>
      </c>
      <c r="KA5" s="143" t="s">
        <v>143</v>
      </c>
      <c r="KB5" s="143" t="s">
        <v>144</v>
      </c>
      <c r="KC5" s="143" t="s">
        <v>145</v>
      </c>
      <c r="KD5" s="143" t="s">
        <v>146</v>
      </c>
      <c r="KE5" s="52"/>
      <c r="KF5" s="55"/>
      <c r="KG5" s="52"/>
      <c r="KH5" s="173" t="s">
        <v>133</v>
      </c>
      <c r="KI5" s="167" t="s">
        <v>134</v>
      </c>
      <c r="KJ5" s="167" t="s">
        <v>135</v>
      </c>
      <c r="KK5" s="167" t="s">
        <v>159</v>
      </c>
      <c r="KL5" s="143" t="s">
        <v>137</v>
      </c>
      <c r="KM5" s="153" t="s">
        <v>160</v>
      </c>
      <c r="KN5" s="143" t="s">
        <v>139</v>
      </c>
      <c r="KO5" s="153" t="s">
        <v>140</v>
      </c>
      <c r="KP5" s="143" t="s">
        <v>141</v>
      </c>
      <c r="KQ5" s="153" t="s">
        <v>142</v>
      </c>
      <c r="KR5" s="153" t="s">
        <v>143</v>
      </c>
      <c r="KS5" s="153" t="s">
        <v>144</v>
      </c>
      <c r="KT5" s="143" t="s">
        <v>145</v>
      </c>
      <c r="KU5" s="153" t="s">
        <v>146</v>
      </c>
      <c r="KV5" s="143" t="s">
        <v>148</v>
      </c>
      <c r="KW5" s="153" t="s">
        <v>149</v>
      </c>
      <c r="KX5" s="143" t="s">
        <v>150</v>
      </c>
      <c r="KY5" s="153" t="s">
        <v>151</v>
      </c>
      <c r="KZ5" s="143" t="s">
        <v>152</v>
      </c>
      <c r="LA5" s="153" t="s">
        <v>161</v>
      </c>
      <c r="LB5" s="143" t="s">
        <v>154</v>
      </c>
      <c r="LC5" s="143" t="s">
        <v>155</v>
      </c>
      <c r="LD5" s="11"/>
      <c r="LE5" s="105"/>
      <c r="LG5" s="165" t="s">
        <v>156</v>
      </c>
      <c r="LH5" s="153" t="s">
        <v>134</v>
      </c>
      <c r="LI5" s="143" t="s">
        <v>135</v>
      </c>
      <c r="LJ5" s="143" t="s">
        <v>159</v>
      </c>
      <c r="LK5" s="153" t="s">
        <v>137</v>
      </c>
      <c r="LL5" s="143" t="s">
        <v>160</v>
      </c>
      <c r="LM5" s="143" t="s">
        <v>139</v>
      </c>
      <c r="LN5" s="153" t="s">
        <v>140</v>
      </c>
      <c r="LO5" s="143" t="s">
        <v>141</v>
      </c>
      <c r="LP5" s="143" t="s">
        <v>142</v>
      </c>
      <c r="LQ5" s="143" t="s">
        <v>143</v>
      </c>
      <c r="LR5" s="131"/>
      <c r="LS5" s="147"/>
      <c r="LU5" s="165" t="s">
        <v>133</v>
      </c>
      <c r="LV5" s="144" t="s">
        <v>134</v>
      </c>
      <c r="LW5" s="143" t="s">
        <v>135</v>
      </c>
      <c r="LY5" s="147"/>
      <c r="MA5" s="174"/>
      <c r="MB5" s="174"/>
      <c r="MC5" s="175" t="s">
        <v>61</v>
      </c>
      <c r="MD5" s="176" t="s">
        <v>62</v>
      </c>
      <c r="ME5" s="177"/>
      <c r="MF5" s="178" t="s">
        <v>61</v>
      </c>
      <c r="MG5" s="176" t="s">
        <v>62</v>
      </c>
      <c r="MH5" s="131"/>
      <c r="MI5" s="147"/>
      <c r="MK5" s="174"/>
      <c r="ML5" s="174"/>
      <c r="MM5" s="174"/>
      <c r="MN5" s="174"/>
      <c r="MO5" s="179" t="s">
        <v>162</v>
      </c>
      <c r="MP5" s="179" t="s">
        <v>163</v>
      </c>
      <c r="MQ5" s="131"/>
      <c r="MR5" s="147"/>
      <c r="MT5" s="180"/>
      <c r="MU5" s="180"/>
      <c r="MV5" s="180"/>
      <c r="MW5" s="180"/>
      <c r="MX5" s="180"/>
      <c r="MY5" s="180"/>
      <c r="MZ5" s="180"/>
      <c r="NA5" s="180"/>
      <c r="NB5" s="180"/>
      <c r="NC5" s="180"/>
      <c r="ND5" s="180"/>
      <c r="NE5" s="180"/>
      <c r="NF5" s="180"/>
      <c r="NG5" s="180"/>
      <c r="NH5" s="180"/>
      <c r="NI5" s="180"/>
      <c r="NJ5" s="180"/>
      <c r="NK5" s="180"/>
      <c r="NL5" s="180"/>
      <c r="NM5" s="180"/>
      <c r="NN5" s="180"/>
      <c r="NO5" s="180"/>
      <c r="NP5" s="180"/>
      <c r="NQ5" s="180"/>
      <c r="NR5" s="180"/>
      <c r="NS5" s="180"/>
      <c r="NT5" s="180"/>
      <c r="NU5" s="180"/>
      <c r="NV5" s="180"/>
      <c r="NW5" s="180"/>
      <c r="NX5" s="180"/>
      <c r="NY5" s="180"/>
      <c r="NZ5" s="180"/>
      <c r="OA5" s="180"/>
      <c r="OB5" s="180"/>
      <c r="OC5" s="180"/>
      <c r="OD5" s="180"/>
      <c r="OE5" s="180"/>
      <c r="OF5" s="180"/>
      <c r="OG5" s="180"/>
      <c r="OH5" s="180"/>
      <c r="OI5" s="180"/>
      <c r="OJ5" s="180"/>
      <c r="OK5" s="180"/>
      <c r="OL5" s="180"/>
      <c r="OM5" s="180"/>
      <c r="ON5" s="180"/>
      <c r="OO5" s="180"/>
    </row>
    <row r="6" spans="1:405" s="29" customFormat="1" ht="16.5" x14ac:dyDescent="0.3">
      <c r="B6" s="181">
        <v>1</v>
      </c>
      <c r="C6" s="182" t="s">
        <v>164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4"/>
      <c r="S6" s="12"/>
      <c r="T6" s="13"/>
      <c r="U6" s="12"/>
      <c r="V6" s="185"/>
      <c r="W6" s="186" t="s">
        <v>23</v>
      </c>
      <c r="X6" s="187"/>
      <c r="Y6" s="188"/>
      <c r="Z6" s="188"/>
      <c r="AA6" s="188"/>
      <c r="AB6" s="18" t="s">
        <v>432</v>
      </c>
      <c r="AC6" s="190"/>
      <c r="AD6" s="13"/>
      <c r="AE6" s="12"/>
      <c r="AF6" s="7"/>
      <c r="AG6" s="191" t="s">
        <v>23</v>
      </c>
      <c r="AK6" s="12"/>
      <c r="AL6" s="13"/>
      <c r="AM6" s="12"/>
      <c r="AN6" s="192">
        <v>1</v>
      </c>
      <c r="AO6" s="193"/>
      <c r="AP6" s="194" t="s">
        <v>164</v>
      </c>
      <c r="AQ6" s="7"/>
      <c r="AR6" s="195"/>
      <c r="CF6" s="196"/>
      <c r="CI6" s="196"/>
      <c r="CK6" s="12"/>
      <c r="CL6" s="13"/>
      <c r="CM6" s="12"/>
      <c r="CN6" s="192">
        <v>1</v>
      </c>
      <c r="CO6" s="961" t="s">
        <v>68</v>
      </c>
      <c r="CP6" s="860">
        <v>236572.53545833335</v>
      </c>
      <c r="CQ6" s="860">
        <v>4629570.149699999</v>
      </c>
      <c r="CR6" s="860">
        <v>525646.00049999997</v>
      </c>
      <c r="CS6" s="801">
        <f>CR6+CQ6</f>
        <v>5155216.1501999991</v>
      </c>
      <c r="CT6" s="859">
        <v>237677.50364015155</v>
      </c>
      <c r="CU6" s="860">
        <v>4660468.5751545439</v>
      </c>
      <c r="CV6" s="860">
        <v>384573.36331075378</v>
      </c>
      <c r="CW6" s="860">
        <f>CV6+CU6</f>
        <v>5045041.9384652972</v>
      </c>
      <c r="CX6" s="198"/>
      <c r="CY6" s="102"/>
      <c r="CZ6" s="12"/>
      <c r="DA6" s="192">
        <v>1</v>
      </c>
      <c r="DB6" s="963" t="s">
        <v>68</v>
      </c>
      <c r="DC6" s="865">
        <v>23822.940000000002</v>
      </c>
      <c r="DD6" s="801">
        <v>516348.01379999996</v>
      </c>
      <c r="DE6" s="865">
        <v>23866.121818181819</v>
      </c>
      <c r="DF6" s="860">
        <v>517223.30925454549</v>
      </c>
      <c r="DG6" s="860">
        <v>517223.30925454543</v>
      </c>
      <c r="DH6" s="12"/>
      <c r="DI6" s="102"/>
      <c r="DJ6" s="12"/>
      <c r="DK6" s="192">
        <v>1</v>
      </c>
      <c r="DL6" s="965" t="s">
        <v>68</v>
      </c>
      <c r="DM6" s="865">
        <v>127677.99850000002</v>
      </c>
      <c r="DN6" s="801">
        <v>3249390.7820000011</v>
      </c>
      <c r="DO6" s="865">
        <v>128425.76850000002</v>
      </c>
      <c r="DP6" s="860">
        <v>3412656.4946437916</v>
      </c>
      <c r="DQ6" s="12"/>
      <c r="DR6" s="13"/>
      <c r="DS6" s="12"/>
      <c r="DT6" s="192">
        <v>1</v>
      </c>
      <c r="DU6" s="870" t="s">
        <v>165</v>
      </c>
      <c r="DV6" s="993">
        <v>247730</v>
      </c>
      <c r="DW6" s="993">
        <v>305038</v>
      </c>
      <c r="DX6" s="993">
        <v>385782</v>
      </c>
      <c r="DY6" s="993">
        <f>SUM(DV6:DX6)</f>
        <v>938550</v>
      </c>
      <c r="DZ6" s="994">
        <v>232452</v>
      </c>
      <c r="EA6" s="993">
        <v>298001</v>
      </c>
      <c r="EB6" s="993">
        <v>352006</v>
      </c>
      <c r="EC6" s="993">
        <v>882459</v>
      </c>
      <c r="ED6" s="12"/>
      <c r="EE6" s="13"/>
      <c r="EF6" s="12"/>
      <c r="EG6" s="192">
        <v>1</v>
      </c>
      <c r="EH6" s="969" t="s">
        <v>166</v>
      </c>
      <c r="EI6" s="860">
        <v>267381.79599999997</v>
      </c>
      <c r="EJ6" s="860">
        <v>305094.33900000004</v>
      </c>
      <c r="EK6" s="860">
        <v>477585.31339999998</v>
      </c>
      <c r="EL6" s="801">
        <f>SUM(EI6:EK6)</f>
        <v>1050061.4484000001</v>
      </c>
      <c r="EM6" s="860">
        <v>266107.47745394724</v>
      </c>
      <c r="EN6" s="860">
        <v>305094.33900000004</v>
      </c>
      <c r="EO6" s="860">
        <v>493023.38309582084</v>
      </c>
      <c r="EP6" s="860">
        <f>SUM(EM6:EO6)</f>
        <v>1064225.1995497681</v>
      </c>
      <c r="EQ6" s="16"/>
      <c r="ER6" s="105"/>
      <c r="ES6" s="12"/>
      <c r="ET6" s="192">
        <v>1</v>
      </c>
      <c r="EU6" s="797" t="s">
        <v>166</v>
      </c>
      <c r="EV6" s="955">
        <v>213239.39</v>
      </c>
      <c r="EW6" s="955">
        <v>162393.25900000002</v>
      </c>
      <c r="EX6" s="955">
        <v>105106.77599999998</v>
      </c>
      <c r="EY6" s="801">
        <f>SUM(EV6:EX6)</f>
        <v>480739.42500000005</v>
      </c>
      <c r="EZ6" s="955">
        <v>202334.10366827415</v>
      </c>
      <c r="FA6" s="955">
        <v>150231.90399999998</v>
      </c>
      <c r="FB6" s="955">
        <v>95627.938710191083</v>
      </c>
      <c r="FC6" s="801">
        <f>SUM(EZ6:FB6)</f>
        <v>448193.94637846516</v>
      </c>
      <c r="FD6" s="860">
        <f>(FC6/$FC$9)*$FD$9</f>
        <v>327363.52898918267</v>
      </c>
      <c r="FE6" s="860">
        <f>(FC6/$FC$9)*$FE$9</f>
        <v>120830.476288431</v>
      </c>
      <c r="FF6" s="860">
        <f>SUM(FD6:FE6)</f>
        <v>448194.00527761364</v>
      </c>
      <c r="FG6" s="16"/>
      <c r="FH6" s="105"/>
      <c r="FI6" s="12"/>
      <c r="FJ6" s="192">
        <v>1</v>
      </c>
      <c r="FK6" s="194" t="s">
        <v>167</v>
      </c>
      <c r="FL6" s="199"/>
      <c r="FM6" s="200"/>
      <c r="FN6" s="200"/>
      <c r="FO6" s="200"/>
      <c r="FP6" s="201"/>
      <c r="FQ6" s="200"/>
      <c r="FR6" s="200"/>
      <c r="FS6" s="200"/>
      <c r="FT6" s="200"/>
      <c r="FU6" s="200"/>
      <c r="FV6" s="16"/>
      <c r="FW6" s="105"/>
      <c r="FX6" s="12"/>
      <c r="FY6" s="192">
        <v>1</v>
      </c>
      <c r="FZ6" s="969" t="s">
        <v>168</v>
      </c>
      <c r="GA6" s="860">
        <v>1200</v>
      </c>
      <c r="GB6" s="860">
        <v>714</v>
      </c>
      <c r="GC6" s="860">
        <v>1423.38</v>
      </c>
      <c r="GD6" s="801">
        <f>SUM(GA6:GC6)</f>
        <v>3337.38</v>
      </c>
      <c r="GE6" s="860">
        <v>1200</v>
      </c>
      <c r="GF6" s="860">
        <v>714</v>
      </c>
      <c r="GG6" s="860">
        <v>1423.3799999999999</v>
      </c>
      <c r="GH6" s="860">
        <f>SUM(GE6:GG6)</f>
        <v>3337.38</v>
      </c>
      <c r="GI6" s="202"/>
      <c r="GJ6" s="203"/>
      <c r="GK6" s="12"/>
      <c r="GL6" s="192">
        <v>1</v>
      </c>
      <c r="GM6" s="973" t="s">
        <v>169</v>
      </c>
      <c r="GN6" s="883">
        <v>300657604</v>
      </c>
      <c r="GO6" s="883">
        <v>658226366</v>
      </c>
      <c r="GP6" s="883">
        <v>1121690182</v>
      </c>
      <c r="GQ6" s="884">
        <f>SUM(GN6:GP6)</f>
        <v>2080574152</v>
      </c>
      <c r="GR6" s="871">
        <v>301831871.77272731</v>
      </c>
      <c r="GS6" s="871">
        <v>658226366</v>
      </c>
      <c r="GT6" s="871">
        <v>1131472285.5</v>
      </c>
      <c r="GU6" s="871">
        <f>SUM(GR6:GT6)</f>
        <v>2091530523.2727273</v>
      </c>
      <c r="GV6" s="204"/>
      <c r="GW6" s="13"/>
      <c r="GX6" s="12"/>
      <c r="GY6" s="12"/>
      <c r="GZ6" s="192">
        <v>1</v>
      </c>
      <c r="HA6" s="886">
        <v>1</v>
      </c>
      <c r="HB6" s="886">
        <v>10</v>
      </c>
      <c r="HC6" s="886">
        <v>21</v>
      </c>
      <c r="HD6" s="887">
        <v>12516790</v>
      </c>
      <c r="HE6" s="888">
        <v>19384421</v>
      </c>
      <c r="HF6" s="800">
        <f>HC6/HB6</f>
        <v>2.1</v>
      </c>
      <c r="HG6" s="800">
        <f>HE6/HD6</f>
        <v>1.5486735017524462</v>
      </c>
      <c r="HH6" s="802">
        <v>1</v>
      </c>
      <c r="HI6" s="802">
        <v>0</v>
      </c>
      <c r="HJ6" s="802">
        <v>0</v>
      </c>
      <c r="HK6" s="12"/>
      <c r="HL6" s="55"/>
      <c r="HM6" s="12"/>
      <c r="HN6" s="205">
        <v>1</v>
      </c>
      <c r="HO6" s="890">
        <v>1</v>
      </c>
      <c r="HP6" s="799">
        <f>HG6</f>
        <v>1.5486735017524462</v>
      </c>
      <c r="HQ6" s="860">
        <v>0</v>
      </c>
      <c r="HR6" s="801">
        <f>HP6*HQ6</f>
        <v>0</v>
      </c>
      <c r="HS6" s="860">
        <v>1356976</v>
      </c>
      <c r="HT6" s="975">
        <v>2097249</v>
      </c>
      <c r="HU6" s="860">
        <v>642350.24089999998</v>
      </c>
      <c r="HV6" s="975">
        <v>1039284</v>
      </c>
      <c r="HW6" s="860">
        <v>185450.87522688613</v>
      </c>
      <c r="HX6" s="955">
        <v>287202.85634067771</v>
      </c>
      <c r="HY6" s="860">
        <f>SUM(HQ6,HU6,HW6)</f>
        <v>827801.1161268861</v>
      </c>
      <c r="HZ6" s="860">
        <f>SUM(HR6,HV6,HX6)</f>
        <v>1326486.8563406777</v>
      </c>
      <c r="IA6" s="206"/>
      <c r="IB6" s="207"/>
      <c r="IC6" s="206"/>
      <c r="ID6" s="208">
        <v>1</v>
      </c>
      <c r="IE6" s="892">
        <v>1</v>
      </c>
      <c r="IF6" s="896">
        <f>HF6</f>
        <v>2.1</v>
      </c>
      <c r="IG6" s="897">
        <f>HG6</f>
        <v>1.5486735017524462</v>
      </c>
      <c r="IH6" s="955">
        <v>308719.11148731643</v>
      </c>
      <c r="II6" s="801">
        <f>IH6*$IG6</f>
        <v>478105.10744496621</v>
      </c>
      <c r="IJ6" s="955">
        <v>43185.960299999999</v>
      </c>
      <c r="IK6" s="801">
        <f>IJ6*$IG6</f>
        <v>66880.952364343117</v>
      </c>
      <c r="IL6" s="955">
        <v>201334.62821268354</v>
      </c>
      <c r="IM6" s="801">
        <f>IL6*IF6</f>
        <v>422802.71924663545</v>
      </c>
      <c r="IN6" s="955">
        <v>352496.2757114711</v>
      </c>
      <c r="IO6" s="995">
        <v>774819.60972537647</v>
      </c>
      <c r="IP6" s="955">
        <v>53385.492599999976</v>
      </c>
      <c r="IQ6" s="801">
        <f>IP6*$IG6</f>
        <v>82676.69776762127</v>
      </c>
      <c r="IR6" s="955">
        <v>14212.910200000004</v>
      </c>
      <c r="IS6" s="801">
        <f>IR6*$IG6</f>
        <v>22011.157409527066</v>
      </c>
      <c r="IT6" s="955">
        <v>21252.47</v>
      </c>
      <c r="IU6" s="801">
        <f>IT6*$IG6</f>
        <v>32913.137135788813</v>
      </c>
      <c r="IV6" s="955">
        <v>112516.38350000001</v>
      </c>
      <c r="IW6" s="801">
        <f>IV6*$IG6</f>
        <v>174251.14163946616</v>
      </c>
      <c r="IX6" s="860">
        <f>IH6+IJ6+IL6+IN6+IP6+IT6+IV6+IR6</f>
        <v>1107103.2320114712</v>
      </c>
      <c r="IY6" s="860">
        <f>II6+IK6+IM6+IO6+IQ6+IU6+IW6+IS6</f>
        <v>2054460.5227337247</v>
      </c>
      <c r="IZ6" s="898">
        <f>IY6/HE6*100</f>
        <v>10.598513738087533</v>
      </c>
      <c r="JA6" s="12"/>
      <c r="JB6" s="13"/>
      <c r="JC6" s="12"/>
      <c r="JD6" s="192">
        <v>1</v>
      </c>
      <c r="JE6" s="886">
        <v>1</v>
      </c>
      <c r="JF6" s="796">
        <f>HC6</f>
        <v>21</v>
      </c>
      <c r="JG6" s="977">
        <v>20</v>
      </c>
      <c r="JH6" s="859">
        <f>HE6</f>
        <v>19384421</v>
      </c>
      <c r="JI6" s="859">
        <f>JH6*$JK$26</f>
        <v>19406440.963931832</v>
      </c>
      <c r="JJ6" s="904">
        <f>JG6/JF6</f>
        <v>0.95238095238095233</v>
      </c>
      <c r="JK6" s="904">
        <f>JI6/JH6</f>
        <v>1.0011359619114666</v>
      </c>
      <c r="JL6" s="904">
        <f>LC7/LB7</f>
        <v>1.0069675647556373</v>
      </c>
      <c r="JM6" s="886" t="s">
        <v>424</v>
      </c>
      <c r="JN6" s="209"/>
      <c r="JO6" s="210"/>
      <c r="JP6" s="209"/>
      <c r="JQ6" s="192">
        <v>1</v>
      </c>
      <c r="JR6" s="886">
        <v>1</v>
      </c>
      <c r="JS6" s="910" t="str">
        <f>JM6</f>
        <v>Q4</v>
      </c>
      <c r="JT6" s="911">
        <f>JL6</f>
        <v>1.0069675647556373</v>
      </c>
      <c r="JU6" s="860">
        <f>HR6</f>
        <v>0</v>
      </c>
      <c r="JV6" s="860">
        <f>JU6*JL6</f>
        <v>0</v>
      </c>
      <c r="JW6" s="860">
        <f>HT6</f>
        <v>2097249</v>
      </c>
      <c r="JX6" s="860">
        <f>HE6/$HE$26*$JX$26</f>
        <v>2141640.5667977715</v>
      </c>
      <c r="JY6" s="860">
        <f>HV6</f>
        <v>1039284</v>
      </c>
      <c r="JZ6" s="860">
        <f>HE6/$HE$26*$JZ$26</f>
        <v>961423.62178702827</v>
      </c>
      <c r="KA6" s="860">
        <f>HX6</f>
        <v>287202.85634067771</v>
      </c>
      <c r="KB6" s="860">
        <f>HE6/$HE$26*$KB$26</f>
        <v>41962.27567193647</v>
      </c>
      <c r="KC6" s="860">
        <f>SUM(JU6,JY6,KA6)</f>
        <v>1326486.8563406777</v>
      </c>
      <c r="KD6" s="860">
        <f>SUM(JV6,JZ6,KB6)</f>
        <v>1003385.8974589647</v>
      </c>
      <c r="KE6" s="211"/>
      <c r="KF6" s="210"/>
      <c r="KG6" s="209"/>
      <c r="KH6" s="212">
        <v>1</v>
      </c>
      <c r="KI6" s="213"/>
      <c r="KJ6" s="213"/>
      <c r="KK6" s="214" t="s">
        <v>170</v>
      </c>
      <c r="KL6" s="215"/>
      <c r="KM6" s="216">
        <v>1.71293334</v>
      </c>
      <c r="KN6" s="217"/>
      <c r="KO6" s="216">
        <v>1.71293334</v>
      </c>
      <c r="KP6" s="217"/>
      <c r="KQ6" s="216">
        <v>1.71293334</v>
      </c>
      <c r="KR6" s="217"/>
      <c r="KS6" s="216">
        <v>1.71293334</v>
      </c>
      <c r="KT6" s="217"/>
      <c r="KU6" s="216">
        <v>1.71293334</v>
      </c>
      <c r="KV6" s="217"/>
      <c r="KW6" s="216">
        <v>1.71293334</v>
      </c>
      <c r="KX6" s="217"/>
      <c r="KY6" s="216">
        <v>1.71293334</v>
      </c>
      <c r="KZ6" s="217"/>
      <c r="LA6" s="216">
        <v>1.71293334</v>
      </c>
      <c r="LB6" s="215"/>
      <c r="LC6" s="218"/>
      <c r="LD6" s="219"/>
      <c r="LE6" s="220"/>
      <c r="LF6" s="12"/>
      <c r="LG6" s="192">
        <v>1</v>
      </c>
      <c r="LH6" s="921">
        <v>1</v>
      </c>
      <c r="LI6" s="860">
        <f>HY6</f>
        <v>827801.1161268861</v>
      </c>
      <c r="LJ6" s="860">
        <f>HZ6</f>
        <v>1326486.8563406777</v>
      </c>
      <c r="LK6" s="801">
        <f>KD6</f>
        <v>1003385.8974589647</v>
      </c>
      <c r="LL6" s="860">
        <f>IX6</f>
        <v>1107103.2320114712</v>
      </c>
      <c r="LM6" s="860">
        <f>IY6</f>
        <v>2054460.5227337247</v>
      </c>
      <c r="LN6" s="801">
        <f>LC7</f>
        <v>2068775.1094637723</v>
      </c>
      <c r="LO6" s="860">
        <f>LI6-LL6</f>
        <v>-279302.11588458507</v>
      </c>
      <c r="LP6" s="860">
        <f>LJ6-LM6</f>
        <v>-727973.66639304697</v>
      </c>
      <c r="LQ6" s="860">
        <f>LK6-LN6</f>
        <v>-1065389.2120048075</v>
      </c>
      <c r="LR6" s="12"/>
      <c r="LS6" s="221"/>
      <c r="LT6" s="8"/>
      <c r="LU6" s="192">
        <v>1</v>
      </c>
      <c r="LV6" s="194" t="s">
        <v>171</v>
      </c>
      <c r="LW6" s="181"/>
      <c r="LX6" s="8"/>
      <c r="LY6" s="221"/>
      <c r="LZ6" s="8"/>
      <c r="MA6" s="222" t="s">
        <v>133</v>
      </c>
      <c r="MB6" s="222"/>
      <c r="MC6" s="144" t="s">
        <v>134</v>
      </c>
      <c r="MD6" s="143" t="s">
        <v>135</v>
      </c>
      <c r="ME6" s="143"/>
      <c r="MF6" s="150" t="s">
        <v>136</v>
      </c>
      <c r="MG6" s="143" t="s">
        <v>137</v>
      </c>
      <c r="MH6" s="12"/>
      <c r="MI6" s="221"/>
      <c r="MJ6" s="8"/>
      <c r="MK6" s="222" t="s">
        <v>133</v>
      </c>
      <c r="ML6" s="32"/>
      <c r="MM6" s="18"/>
      <c r="MN6" s="12"/>
      <c r="MO6" s="12"/>
      <c r="MP6" s="12"/>
      <c r="MQ6" s="12"/>
      <c r="MR6" s="221"/>
      <c r="MS6" s="8"/>
    </row>
    <row r="7" spans="1:405" ht="16.5" x14ac:dyDescent="0.3">
      <c r="B7" s="143">
        <f>B6+1</f>
        <v>2</v>
      </c>
      <c r="C7" s="790"/>
      <c r="D7" s="660" t="s">
        <v>164</v>
      </c>
      <c r="E7" s="791"/>
      <c r="F7" s="792">
        <f>GQ7-F10-F11</f>
        <v>336825698.93769997</v>
      </c>
      <c r="G7" s="793">
        <f>F7/F$24*100</f>
        <v>16.189074473213005</v>
      </c>
      <c r="H7" s="792">
        <f>GU7-H10-H11</f>
        <v>334169414.28032368</v>
      </c>
      <c r="I7" s="724">
        <f>H7/H$24*100</f>
        <v>15.97726691348646</v>
      </c>
      <c r="J7" s="794">
        <f>H7-F7</f>
        <v>-2656284.6573762894</v>
      </c>
      <c r="K7" s="792">
        <f>K8+K9</f>
        <v>366109146</v>
      </c>
      <c r="L7" s="724">
        <f>K7/K$24*100</f>
        <v>16.686292465036136</v>
      </c>
      <c r="M7" s="794">
        <f>K7-H7</f>
        <v>31939731.719676316</v>
      </c>
      <c r="N7" s="792">
        <f>N8+N9</f>
        <v>351227613.62253821</v>
      </c>
      <c r="O7" s="724">
        <f>N7/N$24*100</f>
        <v>15.989867458706374</v>
      </c>
      <c r="P7" s="794">
        <f>N7-K7</f>
        <v>-14881532.377461791</v>
      </c>
      <c r="Q7" s="792">
        <f>N7-F7</f>
        <v>14401914.684838235</v>
      </c>
      <c r="R7" s="723">
        <f>O7/G7-1</f>
        <v>-1.2305027988860351E-2</v>
      </c>
      <c r="V7" s="165">
        <f>V6+1</f>
        <v>1</v>
      </c>
      <c r="W7" s="805" t="s">
        <v>172</v>
      </c>
      <c r="X7" s="955">
        <v>86537.924694514746</v>
      </c>
      <c r="Y7" s="955">
        <v>3231727.2749500014</v>
      </c>
      <c r="Z7" s="955">
        <v>3840711.9133260008</v>
      </c>
      <c r="AA7" s="1001">
        <f>SUM(X7:Z7)</f>
        <v>7158977.112970517</v>
      </c>
      <c r="AB7" s="18"/>
      <c r="AF7" s="165">
        <v>1</v>
      </c>
      <c r="AG7" s="812" t="s">
        <v>77</v>
      </c>
      <c r="AH7" s="813">
        <f>CP9</f>
        <v>1754646.0788748774</v>
      </c>
      <c r="AI7" s="813">
        <f>DC9</f>
        <v>86327.441190476195</v>
      </c>
      <c r="AJ7" s="682">
        <f>DM9</f>
        <v>567379.8664464287</v>
      </c>
      <c r="AN7" s="222">
        <v>2</v>
      </c>
      <c r="AO7" s="18"/>
      <c r="AQ7" s="660" t="s">
        <v>164</v>
      </c>
      <c r="AR7" s="791"/>
      <c r="AS7" s="821">
        <v>120302111.8284</v>
      </c>
      <c r="AT7" s="822">
        <v>11.731293175407233</v>
      </c>
      <c r="AU7" s="783"/>
      <c r="AV7" s="821">
        <v>126126278.56186666</v>
      </c>
      <c r="AW7" s="822">
        <v>11.687249674641077</v>
      </c>
      <c r="AX7" s="823">
        <f>AW7/AT7-1</f>
        <v>-3.754360248918287E-3</v>
      </c>
      <c r="AY7" s="783"/>
      <c r="AZ7" s="821">
        <v>150728360.25</v>
      </c>
      <c r="BA7" s="822">
        <v>11.683129983994691</v>
      </c>
      <c r="BB7" s="823">
        <f>BA7/AW7-1</f>
        <v>-3.5249445002660806E-4</v>
      </c>
      <c r="BC7" s="783"/>
      <c r="BD7" s="821">
        <v>171227908</v>
      </c>
      <c r="BE7" s="822">
        <v>11.643318740549148</v>
      </c>
      <c r="BF7" s="823">
        <f>BE7/BA7-1</f>
        <v>-3.407583712590978E-3</v>
      </c>
      <c r="BG7" s="783"/>
      <c r="BH7" s="821">
        <v>176109569.11769998</v>
      </c>
      <c r="BI7" s="822">
        <v>11.588889837145976</v>
      </c>
      <c r="BJ7" s="823">
        <f>BI7/BE7-1</f>
        <v>-4.6746898041721829E-3</v>
      </c>
      <c r="BK7" s="783"/>
      <c r="BL7" s="821">
        <v>240705114.20000002</v>
      </c>
      <c r="BM7" s="822">
        <v>14.309535452395124</v>
      </c>
      <c r="BN7" s="823">
        <f>BM7/BI7-1</f>
        <v>0.23476326494438138</v>
      </c>
      <c r="BO7" s="783"/>
      <c r="BP7" s="821">
        <v>290609169.1400001</v>
      </c>
      <c r="BQ7" s="822">
        <v>15.66802926667919</v>
      </c>
      <c r="BR7" s="823">
        <f>BQ7/BM7-1</f>
        <v>9.4936262522532289E-2</v>
      </c>
      <c r="BS7" s="783"/>
      <c r="BT7" s="660">
        <v>313797305.58539999</v>
      </c>
      <c r="BU7" s="660">
        <v>15.993295780429609</v>
      </c>
      <c r="BV7" s="660">
        <f>BU7/BQ7-1</f>
        <v>2.0759886786920534E-2</v>
      </c>
      <c r="BW7" s="237">
        <v>311488574.40979999</v>
      </c>
      <c r="BX7" s="238">
        <v>16.091667659507319</v>
      </c>
      <c r="BY7" s="824">
        <f>BX7/BU7-1</f>
        <v>6.15081972022824E-3</v>
      </c>
      <c r="BZ7" s="824">
        <v>328676461.76159996</v>
      </c>
      <c r="CA7" s="824">
        <v>16.112403825565277</v>
      </c>
      <c r="CB7" s="824">
        <f>CA7/BX7-1</f>
        <v>1.2886275367305355E-3</v>
      </c>
      <c r="CC7" s="956">
        <v>326375296.65850008</v>
      </c>
      <c r="CD7" s="956">
        <v>15.703284067284784</v>
      </c>
      <c r="CE7" s="723">
        <f>CD7/CA7-1</f>
        <v>-2.5391602811701497E-2</v>
      </c>
      <c r="CF7" s="792">
        <f>F7</f>
        <v>336825698.93769997</v>
      </c>
      <c r="CG7" s="824">
        <f>G7</f>
        <v>16.189074473213005</v>
      </c>
      <c r="CH7" s="723">
        <f>CG7/CD7-1</f>
        <v>3.0935593080194224E-2</v>
      </c>
      <c r="CI7" s="825">
        <f>CF7/AS7-1</f>
        <v>1.7998319715131115</v>
      </c>
      <c r="CJ7" s="723">
        <f>(CI7+1)^(1/(2022-2004))-1</f>
        <v>5.886517470646857E-2</v>
      </c>
      <c r="CN7" s="222">
        <v>2</v>
      </c>
      <c r="CO7" s="961" t="s">
        <v>69</v>
      </c>
      <c r="CP7" s="650">
        <v>577097.11378000013</v>
      </c>
      <c r="CQ7" s="650">
        <v>10603705.998900004</v>
      </c>
      <c r="CR7" s="650">
        <v>2118043.7692</v>
      </c>
      <c r="CS7" s="794">
        <f>CR7+CQ7</f>
        <v>12721749.768100005</v>
      </c>
      <c r="CT7" s="861">
        <v>577097.11378000013</v>
      </c>
      <c r="CU7" s="650">
        <v>10603705.998900004</v>
      </c>
      <c r="CV7" s="650">
        <v>1626893.7401080688</v>
      </c>
      <c r="CW7" s="650">
        <f>CV7+CU7</f>
        <v>12230599.739008073</v>
      </c>
      <c r="CX7" s="198"/>
      <c r="CY7" s="20"/>
      <c r="DA7" s="222">
        <v>2</v>
      </c>
      <c r="DB7" s="963" t="s">
        <v>69</v>
      </c>
      <c r="DC7" s="813">
        <v>21303.197499999998</v>
      </c>
      <c r="DD7" s="866">
        <v>484236.19040000002</v>
      </c>
      <c r="DE7" s="813">
        <v>21303.197500000002</v>
      </c>
      <c r="DF7" s="650">
        <v>484236.19040000002</v>
      </c>
      <c r="DG7" s="650">
        <v>484236.19040000002</v>
      </c>
      <c r="DI7" s="20"/>
      <c r="DK7" s="222">
        <v>2</v>
      </c>
      <c r="DL7" s="965" t="s">
        <v>69</v>
      </c>
      <c r="DM7" s="813">
        <v>202091.788</v>
      </c>
      <c r="DN7" s="866">
        <v>5797870.1224999996</v>
      </c>
      <c r="DO7" s="813">
        <v>202091.788</v>
      </c>
      <c r="DP7" s="671">
        <v>6289020.1515919305</v>
      </c>
      <c r="DT7" s="222">
        <v>2</v>
      </c>
      <c r="DU7" s="872" t="s">
        <v>173</v>
      </c>
      <c r="DV7" s="650">
        <v>391984.10000000003</v>
      </c>
      <c r="DW7" s="650">
        <v>338958.95999999996</v>
      </c>
      <c r="DX7" s="650">
        <v>610555.29</v>
      </c>
      <c r="DY7" s="650">
        <v>1341498.3500000001</v>
      </c>
      <c r="DZ7" s="792"/>
      <c r="EA7" s="650"/>
      <c r="EB7" s="650"/>
      <c r="EC7" s="650"/>
      <c r="EG7" s="222">
        <v>2</v>
      </c>
      <c r="EH7" s="969" t="s">
        <v>174</v>
      </c>
      <c r="EI7" s="650">
        <v>57904.114000000001</v>
      </c>
      <c r="EJ7" s="650">
        <v>1239025.2</v>
      </c>
      <c r="EK7" s="650">
        <v>2313306.8732480002</v>
      </c>
      <c r="EL7" s="794">
        <f>SUM(EI7:EK7)</f>
        <v>3610236.1872479999</v>
      </c>
      <c r="EM7" s="650">
        <v>57904.114000000001</v>
      </c>
      <c r="EN7" s="650">
        <v>1239025.2</v>
      </c>
      <c r="EO7" s="650">
        <v>2341399.4332480002</v>
      </c>
      <c r="EP7" s="650">
        <f>SUM(EM7:EO7)</f>
        <v>3638328.7472480005</v>
      </c>
      <c r="EQ7" s="16"/>
      <c r="ER7" s="20"/>
      <c r="ET7" s="222">
        <v>2</v>
      </c>
      <c r="EU7" s="791" t="s">
        <v>174</v>
      </c>
      <c r="EV7" s="955">
        <v>42699.689999999995</v>
      </c>
      <c r="EW7" s="955">
        <v>136024</v>
      </c>
      <c r="EX7" s="955">
        <v>333397.58999999997</v>
      </c>
      <c r="EY7" s="794">
        <f>SUM(EV7:EX7)</f>
        <v>512121.27999999997</v>
      </c>
      <c r="EZ7" s="955">
        <v>38097.634750000005</v>
      </c>
      <c r="FA7" s="955">
        <v>129106.95000000001</v>
      </c>
      <c r="FB7" s="955">
        <v>314929.89600000007</v>
      </c>
      <c r="FC7" s="794">
        <f>SUM(EZ7:FB7)</f>
        <v>482134.4807500001</v>
      </c>
      <c r="FD7" s="650">
        <f>(FC7/$FC$9)*$FD$9</f>
        <v>352153.89752812323</v>
      </c>
      <c r="FE7" s="650">
        <f>(FC7/$FC$9)*$FE$9</f>
        <v>129980.64658130106</v>
      </c>
      <c r="FF7" s="650">
        <f>SUM(FD7:FE7)</f>
        <v>482134.54410942429</v>
      </c>
      <c r="FG7" s="16"/>
      <c r="FH7" s="20"/>
      <c r="FJ7" s="222">
        <v>2</v>
      </c>
      <c r="FK7" s="242"/>
      <c r="FL7" s="877" t="s">
        <v>175</v>
      </c>
      <c r="FM7" s="650">
        <v>168882.95899999997</v>
      </c>
      <c r="FN7" s="650">
        <v>266037.8</v>
      </c>
      <c r="FO7" s="650">
        <v>517124.14181999996</v>
      </c>
      <c r="FP7" s="794">
        <f>FM7+FO7+FN7</f>
        <v>952044.90081999986</v>
      </c>
      <c r="FQ7" s="650">
        <v>168947.75899999999</v>
      </c>
      <c r="FR7" s="650">
        <v>266037.8</v>
      </c>
      <c r="FS7" s="650">
        <v>519586.14181999996</v>
      </c>
      <c r="FT7" s="650">
        <v>954571.70081999991</v>
      </c>
      <c r="FU7" s="955">
        <v>954571.70081999991</v>
      </c>
      <c r="FV7" s="202"/>
      <c r="FW7" s="21"/>
      <c r="FY7" s="222">
        <v>2</v>
      </c>
      <c r="FZ7" s="969" t="s">
        <v>176</v>
      </c>
      <c r="GA7" s="650">
        <v>131130.37</v>
      </c>
      <c r="GB7" s="650">
        <v>81469.790000000008</v>
      </c>
      <c r="GC7" s="650">
        <v>174449.45</v>
      </c>
      <c r="GD7" s="794">
        <f>SUM(GA7:GC7)</f>
        <v>387049.61</v>
      </c>
      <c r="GE7" s="650">
        <v>0</v>
      </c>
      <c r="GF7" s="650">
        <v>0</v>
      </c>
      <c r="GG7" s="650">
        <v>0</v>
      </c>
      <c r="GH7" s="650">
        <v>0</v>
      </c>
      <c r="GI7" s="202"/>
      <c r="GJ7" s="203"/>
      <c r="GL7" s="222">
        <v>2</v>
      </c>
      <c r="GM7" s="974" t="s">
        <v>164</v>
      </c>
      <c r="GN7" s="650">
        <v>49996013.61379452</v>
      </c>
      <c r="GO7" s="650">
        <v>109372423.602</v>
      </c>
      <c r="GP7" s="650">
        <v>183078905.3136</v>
      </c>
      <c r="GQ7" s="794">
        <f>SUM(GN7:GP7)</f>
        <v>342447342.52939451</v>
      </c>
      <c r="GR7" s="650">
        <v>47889922.036118187</v>
      </c>
      <c r="GS7" s="650">
        <v>107608162.42200001</v>
      </c>
      <c r="GT7" s="650">
        <v>183491099.26389998</v>
      </c>
      <c r="GU7" s="650">
        <f>SUM(GR7:GT7)</f>
        <v>338989183.72201818</v>
      </c>
      <c r="GZ7" s="222">
        <v>2</v>
      </c>
      <c r="HA7" s="663">
        <v>2</v>
      </c>
      <c r="HB7" s="663">
        <v>10</v>
      </c>
      <c r="HC7" s="663">
        <v>11</v>
      </c>
      <c r="HD7" s="682">
        <v>16081279.727272727</v>
      </c>
      <c r="HE7" s="682">
        <v>18208871</v>
      </c>
      <c r="HF7" s="724">
        <f>HC7/HB7</f>
        <v>1.1000000000000001</v>
      </c>
      <c r="HG7" s="724">
        <f>HE7/HD7</f>
        <v>1.1323023608077054</v>
      </c>
      <c r="HH7" s="723">
        <v>1</v>
      </c>
      <c r="HI7" s="723">
        <v>0</v>
      </c>
      <c r="HJ7" s="723">
        <v>0</v>
      </c>
      <c r="HL7" s="124"/>
      <c r="HN7" s="243">
        <v>2</v>
      </c>
      <c r="HO7" s="891">
        <v>2</v>
      </c>
      <c r="HP7" s="793">
        <f>HG7</f>
        <v>1.1323023608077054</v>
      </c>
      <c r="HQ7" s="650">
        <v>3119.62</v>
      </c>
      <c r="HR7" s="794">
        <f>HP7*HQ7</f>
        <v>3532.3530908229336</v>
      </c>
      <c r="HS7" s="650">
        <v>1763065.2727272727</v>
      </c>
      <c r="HT7" s="975">
        <v>1993361</v>
      </c>
      <c r="HU7" s="650">
        <v>826501.34299999999</v>
      </c>
      <c r="HV7" s="975">
        <v>996780</v>
      </c>
      <c r="HW7" s="650">
        <v>224687.71386762871</v>
      </c>
      <c r="HX7" s="955">
        <v>247251.76703576761</v>
      </c>
      <c r="HY7" s="650">
        <f>SUM(HQ7,HU7,HW7)</f>
        <v>1054308.6768676287</v>
      </c>
      <c r="HZ7" s="650">
        <f>SUM(HR7,HV7,HX7)</f>
        <v>1247564.1201265906</v>
      </c>
      <c r="IA7" s="206"/>
      <c r="IB7" s="207"/>
      <c r="IC7" s="206"/>
      <c r="ID7" s="244">
        <v>2</v>
      </c>
      <c r="IE7" s="891">
        <v>2</v>
      </c>
      <c r="IF7" s="899">
        <f>HF7</f>
        <v>1.1000000000000001</v>
      </c>
      <c r="IG7" s="900">
        <f>HG7</f>
        <v>1.1323023608077054</v>
      </c>
      <c r="IH7" s="955">
        <v>404817.96919065242</v>
      </c>
      <c r="II7" s="794">
        <f>IH7*$IG7</f>
        <v>458376.34221195668</v>
      </c>
      <c r="IJ7" s="955">
        <v>29623.045454545456</v>
      </c>
      <c r="IK7" s="794">
        <f>IJ7*$IG7</f>
        <v>33542.244302495783</v>
      </c>
      <c r="IL7" s="955">
        <v>164524.33080934751</v>
      </c>
      <c r="IM7" s="794">
        <f>IL7*IF7</f>
        <v>180976.76389028228</v>
      </c>
      <c r="IN7" s="955">
        <v>325990.28390059911</v>
      </c>
      <c r="IO7" s="995">
        <v>367613.333148323</v>
      </c>
      <c r="IP7" s="955">
        <v>54401.691454545457</v>
      </c>
      <c r="IQ7" s="794">
        <f>IP7*$IG7</f>
        <v>61599.163665914195</v>
      </c>
      <c r="IR7" s="955">
        <v>32794.422727272722</v>
      </c>
      <c r="IS7" s="794">
        <f>IR7*$IG7</f>
        <v>37133.20227541677</v>
      </c>
      <c r="IT7" s="955">
        <v>47430.550909090911</v>
      </c>
      <c r="IU7" s="794">
        <f>IT7*$IG7</f>
        <v>53705.724768773696</v>
      </c>
      <c r="IV7" s="955">
        <v>218873.50455000001</v>
      </c>
      <c r="IW7" s="794">
        <f>IV7*$IG7</f>
        <v>247830.98592022108</v>
      </c>
      <c r="IX7" s="650">
        <f>IH7+IJ7+IL7+IN7+IP7+IT7+IV7+IR7</f>
        <v>1278455.7989960536</v>
      </c>
      <c r="IY7" s="650">
        <f>II7+IK7+IM7+IO7+IQ7+IU7+IW7+IS7</f>
        <v>1440777.7601833835</v>
      </c>
      <c r="IZ7" s="683">
        <f>IY7/HE7*100</f>
        <v>7.9125046258133382</v>
      </c>
      <c r="JD7" s="222">
        <v>2</v>
      </c>
      <c r="JE7" s="663">
        <v>2</v>
      </c>
      <c r="JF7" s="660">
        <f>HC7</f>
        <v>11</v>
      </c>
      <c r="JG7" s="660">
        <f>JF7</f>
        <v>11</v>
      </c>
      <c r="JH7" s="905">
        <f>HE7</f>
        <v>18208871</v>
      </c>
      <c r="JI7" s="905">
        <f>JH7*$JK$26</f>
        <v>18229555.583906807</v>
      </c>
      <c r="JJ7" s="906">
        <f>JG7/JF7</f>
        <v>1</v>
      </c>
      <c r="JK7" s="906">
        <f>JI7/JH7</f>
        <v>1.0011359619114666</v>
      </c>
      <c r="JL7" s="906">
        <f>LC8/LB8</f>
        <v>1.0309572600796433</v>
      </c>
      <c r="JM7" s="663" t="s">
        <v>238</v>
      </c>
      <c r="JN7" s="209"/>
      <c r="JO7" s="210"/>
      <c r="JP7" s="209"/>
      <c r="JQ7" s="222">
        <v>2</v>
      </c>
      <c r="JR7" s="663">
        <v>2</v>
      </c>
      <c r="JS7" s="912" t="str">
        <f>JM7</f>
        <v>Q3</v>
      </c>
      <c r="JT7" s="913">
        <f>JL7</f>
        <v>1.0309572600796433</v>
      </c>
      <c r="JU7" s="671">
        <f>HR7</f>
        <v>3532.3530908229336</v>
      </c>
      <c r="JV7" s="671">
        <f>JU7*JL7</f>
        <v>3641.7050641486708</v>
      </c>
      <c r="JW7" s="671">
        <f>HT7</f>
        <v>1993361</v>
      </c>
      <c r="JX7" s="671">
        <f>HE7/$HE$26*$JX$26</f>
        <v>2011762.7866825378</v>
      </c>
      <c r="JY7" s="671">
        <f>HV7</f>
        <v>996780</v>
      </c>
      <c r="JZ7" s="671">
        <f>HE7/$HE$26*$JZ$26</f>
        <v>903118.98949536786</v>
      </c>
      <c r="KA7" s="671">
        <f>HX7</f>
        <v>247251.76703576761</v>
      </c>
      <c r="KB7" s="671">
        <f>HE7/$HE$26*$KB$26</f>
        <v>39417.512887113298</v>
      </c>
      <c r="KC7" s="671">
        <f>SUM(JU7,JY7,KA7)</f>
        <v>1247564.1201265906</v>
      </c>
      <c r="KD7" s="671">
        <f>SUM(JV7,JZ7,KB7)</f>
        <v>946178.20744662976</v>
      </c>
      <c r="KE7" s="211"/>
      <c r="KF7" s="210"/>
      <c r="KG7" s="209"/>
      <c r="KH7" s="245">
        <f>KH6+1</f>
        <v>2</v>
      </c>
      <c r="KI7" s="917">
        <v>1</v>
      </c>
      <c r="KJ7" s="918">
        <f>JJ6</f>
        <v>0.95238095238095233</v>
      </c>
      <c r="KK7" s="918">
        <f>JK6</f>
        <v>1.0011359619114666</v>
      </c>
      <c r="KL7" s="898">
        <v>1.6546666699999999</v>
      </c>
      <c r="KM7" s="801">
        <f>II6*KM$6/KL7*KK7</f>
        <v>495503.11447836709</v>
      </c>
      <c r="KN7" s="898">
        <v>1.6546666699999999</v>
      </c>
      <c r="KO7" s="801">
        <f>IK6*KO$6/KN7*KK7</f>
        <v>69314.716951912036</v>
      </c>
      <c r="KP7" s="898">
        <v>1.6546666699999999</v>
      </c>
      <c r="KQ7" s="801">
        <f>IM6*KQ$6/KP7*KJ7</f>
        <v>416848.66615704575</v>
      </c>
      <c r="KR7" s="898">
        <v>1.6546666699999999</v>
      </c>
      <c r="KS7" s="801">
        <f>IO6*KS$6/KR7*KJ7</f>
        <v>763908.33389588259</v>
      </c>
      <c r="KT7" s="898">
        <v>1.6546666699999999</v>
      </c>
      <c r="KU7" s="801">
        <f>IQ6*KU$6/KT7*KK7</f>
        <v>85685.261673048706</v>
      </c>
      <c r="KV7" s="898">
        <v>1.6546666699999999</v>
      </c>
      <c r="KW7" s="801">
        <f>IS6*KW$6/KV7*KK7</f>
        <v>22812.13247852552</v>
      </c>
      <c r="KX7" s="898">
        <v>1.6546666699999999</v>
      </c>
      <c r="KY7" s="801">
        <f>IU6*KY$6/KX7*$KK7</f>
        <v>34110.829823992637</v>
      </c>
      <c r="KZ7" s="898">
        <v>1.6546666699999999</v>
      </c>
      <c r="LA7" s="919">
        <f>IW6*LA$6/KZ7*$KK7</f>
        <v>180592.05400499766</v>
      </c>
      <c r="LB7" s="646">
        <f>IY6</f>
        <v>2054460.5227337247</v>
      </c>
      <c r="LC7" s="646">
        <f>KM7+KO7+KQ7+KS7+KU7+KY7+LA7+KW7</f>
        <v>2068775.1094637723</v>
      </c>
      <c r="LD7" s="16"/>
      <c r="LE7" s="220"/>
      <c r="LG7" s="222">
        <v>2</v>
      </c>
      <c r="LH7" s="922">
        <v>2</v>
      </c>
      <c r="LI7" s="650">
        <f>HY7</f>
        <v>1054308.6768676287</v>
      </c>
      <c r="LJ7" s="650">
        <f>HZ7</f>
        <v>1247564.1201265906</v>
      </c>
      <c r="LK7" s="794">
        <f>KD7</f>
        <v>946178.20744662976</v>
      </c>
      <c r="LL7" s="650">
        <f>IX7</f>
        <v>1278455.7989960536</v>
      </c>
      <c r="LM7" s="650">
        <f>IY7</f>
        <v>1440777.7601833835</v>
      </c>
      <c r="LN7" s="794">
        <f>LC8</f>
        <v>1485380.2920223463</v>
      </c>
      <c r="LO7" s="792">
        <f>LI7-LL7</f>
        <v>-224147.12212842493</v>
      </c>
      <c r="LP7" s="650">
        <f>LJ7-LM7</f>
        <v>-193213.64005679288</v>
      </c>
      <c r="LQ7" s="650">
        <f>LK7-LN7</f>
        <v>-539202.08457571652</v>
      </c>
      <c r="LS7" s="221"/>
      <c r="LT7" s="8"/>
      <c r="LU7" s="222">
        <f>LU6+1</f>
        <v>2</v>
      </c>
      <c r="LV7" s="812" t="s">
        <v>177</v>
      </c>
      <c r="LW7" s="650">
        <f>'DCA 3 month Phase I'!MC21</f>
        <v>109957383.28231123</v>
      </c>
      <c r="LX7" s="8"/>
      <c r="LY7" s="221"/>
      <c r="LZ7" s="8"/>
      <c r="MA7" s="192">
        <v>1</v>
      </c>
      <c r="MB7" s="194" t="s">
        <v>164</v>
      </c>
      <c r="MC7" s="197">
        <f>N7</f>
        <v>351227613.62253821</v>
      </c>
      <c r="MD7" s="246">
        <f>MC7/$MC$34*100</f>
        <v>15.989867458706374</v>
      </c>
      <c r="ME7" s="29"/>
      <c r="MF7" s="247">
        <f>MF8+MF9</f>
        <v>367353212.50748163</v>
      </c>
      <c r="MG7" s="246">
        <f>MF7/$MG$34*100</f>
        <v>16.723995923729667</v>
      </c>
      <c r="MI7" s="221"/>
      <c r="MJ7" s="8"/>
      <c r="MK7" s="192">
        <v>1</v>
      </c>
      <c r="ML7" s="248" t="str">
        <f>MB7</f>
        <v>Revenue</v>
      </c>
      <c r="MM7" s="979">
        <v>371540376.1521095</v>
      </c>
      <c r="MN7" s="860">
        <f>MC7</f>
        <v>351227613.62253821</v>
      </c>
      <c r="MO7" s="860">
        <f>MN7-MM7</f>
        <v>-20312762.529571295</v>
      </c>
      <c r="MP7" s="830">
        <f>MO7/MM7</f>
        <v>-5.4671749918386262E-2</v>
      </c>
      <c r="MR7" s="221"/>
      <c r="MS7" s="8"/>
    </row>
    <row r="8" spans="1:405" s="29" customFormat="1" ht="16.5" x14ac:dyDescent="0.3">
      <c r="B8" s="181">
        <f>B7+1</f>
        <v>3</v>
      </c>
      <c r="C8" s="795"/>
      <c r="D8" s="796"/>
      <c r="E8" s="797" t="s">
        <v>178</v>
      </c>
      <c r="F8" s="798">
        <f>GQ8</f>
        <v>231071802</v>
      </c>
      <c r="G8" s="799">
        <f>F8/F$24*100</f>
        <v>11.106155566619766</v>
      </c>
      <c r="H8" s="798">
        <f>GU8</f>
        <v>232634365.45454544</v>
      </c>
      <c r="I8" s="800">
        <f>H8/H$24*100</f>
        <v>11.122685653687245</v>
      </c>
      <c r="J8" s="801">
        <f>H8-F8</f>
        <v>1562563.4545454383</v>
      </c>
      <c r="K8" s="798">
        <f>HT26</f>
        <v>242214042</v>
      </c>
      <c r="L8" s="800">
        <f>K8/K$24*100</f>
        <v>11.039479314047364</v>
      </c>
      <c r="M8" s="801">
        <f>K8-H8</f>
        <v>9579676.5454545617</v>
      </c>
      <c r="N8" s="798">
        <f>JX26</f>
        <v>242406621.26188737</v>
      </c>
      <c r="O8" s="800">
        <f>N8/N$24*100</f>
        <v>11.035720412507134</v>
      </c>
      <c r="P8" s="801">
        <f>N8-K8</f>
        <v>192579.26188737154</v>
      </c>
      <c r="Q8" s="798">
        <f>N8-F8</f>
        <v>11334819.261887372</v>
      </c>
      <c r="R8" s="802">
        <f>O8/G8-1</f>
        <v>-6.3419923924286081E-3</v>
      </c>
      <c r="S8" s="12"/>
      <c r="T8" s="13"/>
      <c r="U8" s="12"/>
      <c r="V8" s="252">
        <f>V7+1</f>
        <v>2</v>
      </c>
      <c r="W8" s="806" t="s">
        <v>179</v>
      </c>
      <c r="X8" s="807">
        <f>X7/F$24*100</f>
        <v>4.1593290299856978E-3</v>
      </c>
      <c r="Y8" s="800">
        <f>Y7/F$24*100</f>
        <v>0.15532862752540827</v>
      </c>
      <c r="Z8" s="800">
        <f>Z7/F$24*100</f>
        <v>0.18459865559869751</v>
      </c>
      <c r="AA8" s="800">
        <f>AA7/F$24*100</f>
        <v>0.34408661215409142</v>
      </c>
      <c r="AB8" s="227"/>
      <c r="AC8" s="233"/>
      <c r="AD8" s="13"/>
      <c r="AE8" s="12"/>
      <c r="AF8" s="252">
        <f>AF7+1</f>
        <v>2</v>
      </c>
      <c r="AG8" s="814" t="s">
        <v>180</v>
      </c>
      <c r="AH8" s="815">
        <f>AH7*3600/F$24</f>
        <v>3.0360493894810041</v>
      </c>
      <c r="AI8" s="815">
        <f>AI7*3600/F$24</f>
        <v>0.14937164723832172</v>
      </c>
      <c r="AJ8" s="815">
        <f>AJ7*3600/F$24</f>
        <v>0.98173262281648466</v>
      </c>
      <c r="AK8" s="12"/>
      <c r="AL8" s="13"/>
      <c r="AM8" s="12"/>
      <c r="AN8" s="192">
        <v>3</v>
      </c>
      <c r="AO8" s="254"/>
      <c r="AQ8" s="826" t="s">
        <v>178</v>
      </c>
      <c r="AR8" s="797"/>
      <c r="AS8" s="827">
        <v>79503570.349999994</v>
      </c>
      <c r="AT8" s="828">
        <v>7.7528122997362363</v>
      </c>
      <c r="AU8" s="829"/>
      <c r="AV8" s="827">
        <v>82983136.416666657</v>
      </c>
      <c r="AW8" s="828">
        <v>7.689473162491363</v>
      </c>
      <c r="AX8" s="830">
        <f>AW8/AT8-1</f>
        <v>-8.1698272570107644E-3</v>
      </c>
      <c r="AY8" s="829"/>
      <c r="AZ8" s="827">
        <v>98672863.5</v>
      </c>
      <c r="BA8" s="828">
        <v>7.6482480685877787</v>
      </c>
      <c r="BB8" s="830">
        <f>BA8/AW8-1</f>
        <v>-5.3612377639442599E-3</v>
      </c>
      <c r="BC8" s="829"/>
      <c r="BD8" s="827">
        <v>111397202</v>
      </c>
      <c r="BE8" s="828">
        <v>7.5748932801967008</v>
      </c>
      <c r="BF8" s="830">
        <f>BE8/BA8-1</f>
        <v>-9.5910576818701854E-3</v>
      </c>
      <c r="BG8" s="829"/>
      <c r="BH8" s="827">
        <v>116322907.89166664</v>
      </c>
      <c r="BI8" s="828">
        <v>7.6546287169214136</v>
      </c>
      <c r="BJ8" s="830">
        <f>BI8/BE8-1</f>
        <v>1.0526278559351843E-2</v>
      </c>
      <c r="BK8" s="829"/>
      <c r="BL8" s="827">
        <v>174683793.20000002</v>
      </c>
      <c r="BM8" s="828">
        <v>10.384673130282241</v>
      </c>
      <c r="BN8" s="830">
        <f>BM8/BI8-1</f>
        <v>0.35665275408143038</v>
      </c>
      <c r="BO8" s="829"/>
      <c r="BP8" s="827">
        <v>208646041.65000004</v>
      </c>
      <c r="BQ8" s="828">
        <v>11.249033527135891</v>
      </c>
      <c r="BR8" s="830">
        <f>BQ8/BM8-1</f>
        <v>8.3234242042065976E-2</v>
      </c>
      <c r="BS8" s="829"/>
      <c r="BT8" s="796">
        <v>219246568.60000002</v>
      </c>
      <c r="BU8" s="796">
        <v>11.174331831570692</v>
      </c>
      <c r="BV8" s="796">
        <f>BU8/BQ8-1</f>
        <v>-6.6407212126265991E-3</v>
      </c>
      <c r="BW8" s="258">
        <v>215103150.44999999</v>
      </c>
      <c r="BX8" s="259">
        <v>11.112344701929782</v>
      </c>
      <c r="BY8" s="831">
        <f>BX8/BU8-1</f>
        <v>-5.5472784033295808E-3</v>
      </c>
      <c r="BZ8" s="831">
        <v>224292117.40000001</v>
      </c>
      <c r="CA8" s="831">
        <v>10.99526613822796</v>
      </c>
      <c r="CB8" s="831">
        <f>CA8/BX8-1</f>
        <v>-1.0535901003996928E-2</v>
      </c>
      <c r="CC8" s="956">
        <v>228950330.75</v>
      </c>
      <c r="CD8" s="956">
        <v>11.015760438596976</v>
      </c>
      <c r="CE8" s="802">
        <f>CD8/CA8-1</f>
        <v>1.8639203554848827E-3</v>
      </c>
      <c r="CF8" s="798">
        <f>F8</f>
        <v>231071802</v>
      </c>
      <c r="CG8" s="831">
        <f>G8</f>
        <v>11.106155566619766</v>
      </c>
      <c r="CH8" s="802">
        <f>CG8/CD8-1</f>
        <v>8.2059816502602079E-3</v>
      </c>
      <c r="CI8" s="832">
        <f>CF8/AS8-1</f>
        <v>1.9064330190801302</v>
      </c>
      <c r="CJ8" s="802">
        <f>(CI8+1)^(1/(2022-2004))-1</f>
        <v>6.1065612459339613E-2</v>
      </c>
      <c r="CK8" s="12"/>
      <c r="CL8" s="13"/>
      <c r="CM8" s="12"/>
      <c r="CN8" s="263">
        <v>3</v>
      </c>
      <c r="CO8" s="962" t="s">
        <v>70</v>
      </c>
      <c r="CP8" s="863">
        <v>940976.42963654397</v>
      </c>
      <c r="CQ8" s="863">
        <v>17441604.080599997</v>
      </c>
      <c r="CR8" s="863">
        <v>2682727.8284999998</v>
      </c>
      <c r="CS8" s="864">
        <f>CR8+CQ8</f>
        <v>20124331.909099996</v>
      </c>
      <c r="CT8" s="862">
        <v>947926.42963654408</v>
      </c>
      <c r="CU8" s="863">
        <v>17578043.740599997</v>
      </c>
      <c r="CV8" s="863">
        <v>1959514.4296093306</v>
      </c>
      <c r="CW8" s="863">
        <f>CV8+CU8</f>
        <v>19537558.17020933</v>
      </c>
      <c r="CX8" s="198"/>
      <c r="CY8" s="20"/>
      <c r="CZ8" s="12"/>
      <c r="DA8" s="263">
        <v>3</v>
      </c>
      <c r="DB8" s="964" t="s">
        <v>70</v>
      </c>
      <c r="DC8" s="867">
        <v>41201.303690476198</v>
      </c>
      <c r="DD8" s="864">
        <v>804382.34765000001</v>
      </c>
      <c r="DE8" s="867">
        <v>41201.30369047619</v>
      </c>
      <c r="DF8" s="863">
        <v>804382.34764999989</v>
      </c>
      <c r="DG8" s="863">
        <v>804382.34765000001</v>
      </c>
      <c r="DH8" s="12"/>
      <c r="DI8" s="20"/>
      <c r="DJ8" s="12"/>
      <c r="DK8" s="263">
        <v>3</v>
      </c>
      <c r="DL8" s="966" t="s">
        <v>70</v>
      </c>
      <c r="DM8" s="867">
        <v>237610.0799464286</v>
      </c>
      <c r="DN8" s="864">
        <v>7476293.3502500001</v>
      </c>
      <c r="DO8" s="867">
        <v>239547.0799464286</v>
      </c>
      <c r="DP8" s="863">
        <v>8260756.9691406693</v>
      </c>
      <c r="DQ8" s="12"/>
      <c r="DR8" s="13"/>
      <c r="DS8" s="12"/>
      <c r="DT8" s="192">
        <v>3</v>
      </c>
      <c r="DU8" s="873" t="s">
        <v>181</v>
      </c>
      <c r="DV8" s="860">
        <v>2850509.1129999999</v>
      </c>
      <c r="DW8" s="860">
        <v>5975213.4032000005</v>
      </c>
      <c r="DX8" s="860">
        <v>12662919</v>
      </c>
      <c r="DY8" s="860">
        <v>21488641.516199999</v>
      </c>
      <c r="DZ8" s="798"/>
      <c r="EA8" s="860"/>
      <c r="EB8" s="860"/>
      <c r="EC8" s="860"/>
      <c r="ED8" s="18"/>
      <c r="EE8" s="264"/>
      <c r="EF8" s="18"/>
      <c r="EG8" s="263">
        <v>3</v>
      </c>
      <c r="EH8" s="970" t="s">
        <v>182</v>
      </c>
      <c r="EI8" s="860">
        <v>125804.27599999998</v>
      </c>
      <c r="EJ8" s="860">
        <v>273710.98</v>
      </c>
      <c r="EK8" s="860">
        <v>840589.31451599998</v>
      </c>
      <c r="EL8" s="801">
        <f>SUM(EI8:EK8)</f>
        <v>1240104.570516</v>
      </c>
      <c r="EM8" s="860">
        <v>125804.27599999998</v>
      </c>
      <c r="EN8" s="860">
        <v>273710.98</v>
      </c>
      <c r="EO8" s="860">
        <v>840589.31451599998</v>
      </c>
      <c r="EP8" s="860">
        <f>SUM(EM8:EO8)</f>
        <v>1240104.570516</v>
      </c>
      <c r="EQ8" s="16"/>
      <c r="ER8" s="20"/>
      <c r="ES8" s="12"/>
      <c r="ET8" s="263">
        <v>3</v>
      </c>
      <c r="EU8" s="876" t="s">
        <v>182</v>
      </c>
      <c r="EV8" s="955">
        <v>971516.0340000001</v>
      </c>
      <c r="EW8" s="955">
        <v>854178.56000000017</v>
      </c>
      <c r="EX8" s="955">
        <v>978091.87800000014</v>
      </c>
      <c r="EY8" s="801">
        <f>SUM(EV8:EX8)</f>
        <v>2803786.4720000005</v>
      </c>
      <c r="EZ8" s="955">
        <v>924269.45366363646</v>
      </c>
      <c r="FA8" s="955">
        <v>811720.19961666677</v>
      </c>
      <c r="FB8" s="955">
        <v>956101.68350000028</v>
      </c>
      <c r="FC8" s="801">
        <f>SUM(EZ8:FB8)</f>
        <v>2692091.3367803036</v>
      </c>
      <c r="FD8" s="860">
        <f>(FC8/$FC$9)*$FD$9</f>
        <v>1966319.5531548369</v>
      </c>
      <c r="FE8" s="860">
        <f>(FC8/$FC$9)*$FE$9</f>
        <v>725772.13740509457</v>
      </c>
      <c r="FF8" s="860">
        <f>SUM(FD8:FE8)</f>
        <v>2692091.6905599316</v>
      </c>
      <c r="FG8" s="16"/>
      <c r="FH8" s="20"/>
      <c r="FI8" s="12"/>
      <c r="FJ8" s="192">
        <f>FJ7+1</f>
        <v>3</v>
      </c>
      <c r="FK8" s="265"/>
      <c r="FL8" s="878" t="s">
        <v>183</v>
      </c>
      <c r="FM8" s="860">
        <v>188892.37299999996</v>
      </c>
      <c r="FN8" s="860">
        <v>275252.03999999998</v>
      </c>
      <c r="FO8" s="860">
        <v>460452.28275999997</v>
      </c>
      <c r="FP8" s="801">
        <f>FM8+FO8+FN8</f>
        <v>924596.69576000003</v>
      </c>
      <c r="FQ8" s="860">
        <v>189243.32754545452</v>
      </c>
      <c r="FR8" s="860">
        <v>275252.03999999998</v>
      </c>
      <c r="FS8" s="860">
        <v>462708.78275999997</v>
      </c>
      <c r="FT8" s="860">
        <v>927204.15030545439</v>
      </c>
      <c r="FU8" s="955">
        <v>927204.15030545439</v>
      </c>
      <c r="FV8" s="16"/>
      <c r="FW8" s="266"/>
      <c r="FX8" s="12"/>
      <c r="FY8" s="192">
        <v>3</v>
      </c>
      <c r="FZ8" s="969" t="s">
        <v>184</v>
      </c>
      <c r="GA8" s="860">
        <v>0</v>
      </c>
      <c r="GB8" s="860">
        <v>1585.69</v>
      </c>
      <c r="GC8" s="860">
        <v>4560.8500000000004</v>
      </c>
      <c r="GD8" s="801">
        <f>SUM(GA8:GC8)</f>
        <v>6146.5400000000009</v>
      </c>
      <c r="GE8" s="860">
        <v>0</v>
      </c>
      <c r="GF8" s="860">
        <v>1585.69</v>
      </c>
      <c r="GG8" s="860">
        <v>4560.8499999999995</v>
      </c>
      <c r="GH8" s="860">
        <f>SUM(GE8:GG8)</f>
        <v>6146.5399999999991</v>
      </c>
      <c r="GI8" s="202"/>
      <c r="GJ8" s="203"/>
      <c r="GK8" s="12"/>
      <c r="GL8" s="192">
        <v>3</v>
      </c>
      <c r="GM8" s="974" t="s">
        <v>185</v>
      </c>
      <c r="GN8" s="860">
        <v>32659360</v>
      </c>
      <c r="GO8" s="860">
        <v>73143841</v>
      </c>
      <c r="GP8" s="860">
        <v>125268601</v>
      </c>
      <c r="GQ8" s="801">
        <f>SUM(GN8:GP8)</f>
        <v>231071802</v>
      </c>
      <c r="GR8" s="860">
        <v>32785892.454545457</v>
      </c>
      <c r="GS8" s="860">
        <v>73143841</v>
      </c>
      <c r="GT8" s="860">
        <v>126704632</v>
      </c>
      <c r="GU8" s="860">
        <f>SUM(GR8:GT8)</f>
        <v>232634365.45454544</v>
      </c>
      <c r="GV8" s="12"/>
      <c r="GW8" s="13"/>
      <c r="GX8" s="12"/>
      <c r="GY8" s="12"/>
      <c r="GZ8" s="192">
        <v>3</v>
      </c>
      <c r="HA8" s="886">
        <v>3</v>
      </c>
      <c r="HB8" s="886">
        <v>10</v>
      </c>
      <c r="HC8" s="886">
        <v>12</v>
      </c>
      <c r="HD8" s="887">
        <v>20344988.5</v>
      </c>
      <c r="HE8" s="887">
        <v>32658783</v>
      </c>
      <c r="HF8" s="800">
        <f>HC8/HB8</f>
        <v>1.2</v>
      </c>
      <c r="HG8" s="800">
        <f>HE8/HD8</f>
        <v>1.6052495188188483</v>
      </c>
      <c r="HH8" s="802">
        <v>0.91666666666666663</v>
      </c>
      <c r="HI8" s="802">
        <v>8.3333333333333329E-2</v>
      </c>
      <c r="HJ8" s="802">
        <v>0</v>
      </c>
      <c r="HK8" s="12"/>
      <c r="HL8" s="13"/>
      <c r="HM8" s="12"/>
      <c r="HN8" s="267">
        <v>3</v>
      </c>
      <c r="HO8" s="892">
        <v>3</v>
      </c>
      <c r="HP8" s="799">
        <f>HG8</f>
        <v>1.6052495188188483</v>
      </c>
      <c r="HQ8" s="860">
        <v>1380.25</v>
      </c>
      <c r="HR8" s="801">
        <f>HP8*HQ8</f>
        <v>2215.6456483497154</v>
      </c>
      <c r="HS8" s="860">
        <v>3040578</v>
      </c>
      <c r="HT8" s="975">
        <v>3540202</v>
      </c>
      <c r="HU8" s="860">
        <v>1529821.8165000002</v>
      </c>
      <c r="HV8" s="975">
        <v>1806306</v>
      </c>
      <c r="HW8" s="860">
        <v>225000</v>
      </c>
      <c r="HX8" s="955">
        <v>270000</v>
      </c>
      <c r="HY8" s="860">
        <f>SUM(HQ8,HU8,HW8)</f>
        <v>1756202.0665000002</v>
      </c>
      <c r="HZ8" s="860">
        <f>SUM(HR8,HV8,HX8)</f>
        <v>2078521.6456483498</v>
      </c>
      <c r="IA8" s="206"/>
      <c r="IB8" s="207"/>
      <c r="IC8" s="206"/>
      <c r="ID8" s="208">
        <v>3</v>
      </c>
      <c r="IE8" s="892">
        <v>3</v>
      </c>
      <c r="IF8" s="896">
        <f>HF8</f>
        <v>1.2</v>
      </c>
      <c r="IG8" s="897">
        <f>HG8</f>
        <v>1.6052495188188483</v>
      </c>
      <c r="IH8" s="955">
        <v>577305.36855060607</v>
      </c>
      <c r="II8" s="801">
        <f>IH8*$IG8</f>
        <v>926719.1650773983</v>
      </c>
      <c r="IJ8" s="955">
        <v>32067.097500000003</v>
      </c>
      <c r="IK8" s="801">
        <f>IJ8*$IG8</f>
        <v>51475.692831792097</v>
      </c>
      <c r="IL8" s="955">
        <v>345698.17394939391</v>
      </c>
      <c r="IM8" s="801">
        <f>IL8*IF8</f>
        <v>414837.8087392727</v>
      </c>
      <c r="IN8" s="955">
        <v>450099.62629260041</v>
      </c>
      <c r="IO8" s="995">
        <v>568283.17533084238</v>
      </c>
      <c r="IP8" s="955">
        <v>59748.991000000009</v>
      </c>
      <c r="IQ8" s="801">
        <f>IP8*$IG8</f>
        <v>95912.039052661712</v>
      </c>
      <c r="IR8" s="955">
        <v>52762.979000000007</v>
      </c>
      <c r="IS8" s="801">
        <f>IR8*$IG8</f>
        <v>84697.746651199006</v>
      </c>
      <c r="IT8" s="955">
        <v>8488.5190000000002</v>
      </c>
      <c r="IU8" s="801">
        <f>IT8*$IG8</f>
        <v>13626.191040234651</v>
      </c>
      <c r="IV8" s="955">
        <v>172420.86052500003</v>
      </c>
      <c r="IW8" s="801">
        <f>IV8*$IG8</f>
        <v>276778.50339208805</v>
      </c>
      <c r="IX8" s="860">
        <f>IH8+IJ8+IL8+IN8+IP8+IT8+IV8+IR8</f>
        <v>1698591.6158176006</v>
      </c>
      <c r="IY8" s="860">
        <f>II8+IK8+IM8+IO8+IQ8+IU8+IW8+IS8</f>
        <v>2432330.3221154893</v>
      </c>
      <c r="IZ8" s="898">
        <f>IY8/HE8*100</f>
        <v>7.4477065545139549</v>
      </c>
      <c r="JA8" s="12"/>
      <c r="JB8" s="13"/>
      <c r="JC8" s="12"/>
      <c r="JD8" s="192">
        <v>3</v>
      </c>
      <c r="JE8" s="886">
        <v>3</v>
      </c>
      <c r="JF8" s="796">
        <f>HC8</f>
        <v>12</v>
      </c>
      <c r="JG8" s="977">
        <v>11</v>
      </c>
      <c r="JH8" s="859">
        <f>HE8</f>
        <v>32658783</v>
      </c>
      <c r="JI8" s="859">
        <f>JH8*$JK$26</f>
        <v>32695882.133562852</v>
      </c>
      <c r="JJ8" s="904">
        <f>JG8/JF8</f>
        <v>0.91666666666666663</v>
      </c>
      <c r="JK8" s="904">
        <f>JI8/JH8</f>
        <v>1.0011359619114666</v>
      </c>
      <c r="JL8" s="904">
        <f>LC9/LB9</f>
        <v>1.0010457037659368</v>
      </c>
      <c r="JM8" s="886" t="s">
        <v>424</v>
      </c>
      <c r="JN8" s="209"/>
      <c r="JO8" s="210"/>
      <c r="JP8" s="209"/>
      <c r="JQ8" s="192">
        <v>3</v>
      </c>
      <c r="JR8" s="886">
        <v>3</v>
      </c>
      <c r="JS8" s="910" t="str">
        <f>JM8</f>
        <v>Q4</v>
      </c>
      <c r="JT8" s="911">
        <f>JL8</f>
        <v>1.0010457037659368</v>
      </c>
      <c r="JU8" s="860">
        <f>HR8</f>
        <v>2215.6456483497154</v>
      </c>
      <c r="JV8" s="860">
        <f>JU8*JL8</f>
        <v>2217.9625573481762</v>
      </c>
      <c r="JW8" s="860">
        <f>HT8</f>
        <v>3540202</v>
      </c>
      <c r="JX8" s="860">
        <f>HE8/$HE$26*$JX$26</f>
        <v>3608226.1386628686</v>
      </c>
      <c r="JY8" s="860">
        <f>HV8</f>
        <v>1806306</v>
      </c>
      <c r="JZ8" s="860">
        <f>HE8/$HE$26*$JZ$26</f>
        <v>1619802.0789486892</v>
      </c>
      <c r="KA8" s="860">
        <f>HX8</f>
        <v>270000</v>
      </c>
      <c r="KB8" s="860">
        <f>HE8/$HE$26*$KB$26</f>
        <v>70697.848305912907</v>
      </c>
      <c r="KC8" s="860">
        <f>SUM(JU8,JY8,KA8)</f>
        <v>2078521.6456483498</v>
      </c>
      <c r="KD8" s="860">
        <f>SUM(JV8,JZ8,KB8)</f>
        <v>1692717.8898119503</v>
      </c>
      <c r="KE8" s="211"/>
      <c r="KF8" s="210"/>
      <c r="KG8" s="209"/>
      <c r="KH8" s="243">
        <f>KH7+1</f>
        <v>3</v>
      </c>
      <c r="KI8" s="891">
        <v>2</v>
      </c>
      <c r="KJ8" s="920">
        <f>JJ7</f>
        <v>1</v>
      </c>
      <c r="KK8" s="920">
        <f>JK7</f>
        <v>1.0011359619114666</v>
      </c>
      <c r="KL8" s="683">
        <v>1.6626666699999999</v>
      </c>
      <c r="KM8" s="794">
        <f>II7*KM$6/KL8*JK7</f>
        <v>472770.67262027483</v>
      </c>
      <c r="KN8" s="683">
        <v>1.6626666699999999</v>
      </c>
      <c r="KO8" s="794">
        <f>IK7*KO$6/KN8*KK8</f>
        <v>34595.566873195545</v>
      </c>
      <c r="KP8" s="683">
        <v>1.6626666699999999</v>
      </c>
      <c r="KQ8" s="794">
        <f>IM7*KQ$6/KP8*KJ8</f>
        <v>186448.15477835533</v>
      </c>
      <c r="KR8" s="683">
        <v>1.6626666699999999</v>
      </c>
      <c r="KS8" s="794">
        <f>IO7*KS$6/KR8*KJ8</f>
        <v>378727.2253303121</v>
      </c>
      <c r="KT8" s="683">
        <v>1.6626666699999999</v>
      </c>
      <c r="KU8" s="794">
        <f>IQ7*KU$6/KT8*KK8</f>
        <v>63533.55388859551</v>
      </c>
      <c r="KV8" s="683">
        <v>1.6626666699999999</v>
      </c>
      <c r="KW8" s="794">
        <f>IS7*KW$6/KV8*KK8</f>
        <v>38299.291214675548</v>
      </c>
      <c r="KX8" s="683">
        <v>1.6626666699999999</v>
      </c>
      <c r="KY8" s="794">
        <f>IU7*KY$6/KX8*$KK8</f>
        <v>55392.238395130211</v>
      </c>
      <c r="KZ8" s="683">
        <v>1.6626666699999999</v>
      </c>
      <c r="LA8" s="794">
        <f>IW7*LA$6/KZ8*$KK8</f>
        <v>255613.58892180733</v>
      </c>
      <c r="LB8" s="650">
        <f>IY7</f>
        <v>1440777.7601833835</v>
      </c>
      <c r="LC8" s="650">
        <f>KM8+KO8+KQ8+KS8+KU8+KY8+LA8+KW8</f>
        <v>1485380.2920223463</v>
      </c>
      <c r="LD8" s="16"/>
      <c r="LE8" s="220"/>
      <c r="LF8" s="12"/>
      <c r="LG8" s="192">
        <v>3</v>
      </c>
      <c r="LH8" s="921">
        <v>3</v>
      </c>
      <c r="LI8" s="860">
        <f>HY8</f>
        <v>1756202.0665000002</v>
      </c>
      <c r="LJ8" s="860">
        <f>HZ8</f>
        <v>2078521.6456483498</v>
      </c>
      <c r="LK8" s="801">
        <f>KD8</f>
        <v>1692717.8898119503</v>
      </c>
      <c r="LL8" s="860">
        <f>IX8</f>
        <v>1698591.6158176006</v>
      </c>
      <c r="LM8" s="860">
        <f>IY8</f>
        <v>2432330.3221154893</v>
      </c>
      <c r="LN8" s="801">
        <f>LC9</f>
        <v>2434873.819093328</v>
      </c>
      <c r="LO8" s="860">
        <f>LI8-LL8</f>
        <v>57610.450682399562</v>
      </c>
      <c r="LP8" s="860">
        <f>LJ8-LM8</f>
        <v>-353808.67646713951</v>
      </c>
      <c r="LQ8" s="860">
        <f>LK8-LN8</f>
        <v>-742155.9292813777</v>
      </c>
      <c r="LR8" s="12"/>
      <c r="LS8" s="13"/>
      <c r="LT8" s="12"/>
      <c r="LU8" s="192">
        <f>LU7+1</f>
        <v>3</v>
      </c>
      <c r="LV8" s="923" t="s">
        <v>42</v>
      </c>
      <c r="LW8" s="924">
        <f>'DCA 3 month Phase I'!MC8</f>
        <v>242406621.26188737</v>
      </c>
      <c r="LX8" s="12"/>
      <c r="LY8" s="13"/>
      <c r="LZ8" s="12"/>
      <c r="MA8" s="222">
        <f>MA7+1</f>
        <v>2</v>
      </c>
      <c r="MB8" s="812" t="s">
        <v>178</v>
      </c>
      <c r="MC8" s="650">
        <f>N8</f>
        <v>242406621.26188737</v>
      </c>
      <c r="MD8" s="747">
        <f>MC8/$MC$34*100</f>
        <v>11.035720412507134</v>
      </c>
      <c r="ME8" s="660"/>
      <c r="MF8" s="792">
        <f>MC8</f>
        <v>242406621.26188737</v>
      </c>
      <c r="MG8" s="747">
        <f>MF8/$MG$34*100</f>
        <v>11.035720412507134</v>
      </c>
      <c r="MH8" s="12"/>
      <c r="MI8" s="13"/>
      <c r="MJ8" s="12"/>
      <c r="MK8" s="222">
        <f>MK7+1</f>
        <v>2</v>
      </c>
      <c r="ML8" s="812" t="str">
        <f>MB8</f>
        <v>Less Purchases</v>
      </c>
      <c r="MM8" s="979">
        <v>239866309.41368827</v>
      </c>
      <c r="MN8" s="650">
        <f>MC8</f>
        <v>242406621.26188737</v>
      </c>
      <c r="MO8" s="650">
        <f>MN8-MM8</f>
        <v>2540311.8481990993</v>
      </c>
      <c r="MP8" s="723">
        <f>MO8/MM8</f>
        <v>1.0590532094350609E-2</v>
      </c>
      <c r="MQ8" s="12"/>
      <c r="MR8" s="13"/>
      <c r="MS8" s="12"/>
    </row>
    <row r="9" spans="1:405" ht="17.25" thickBot="1" x14ac:dyDescent="0.35">
      <c r="B9" s="143">
        <f>B8+1</f>
        <v>4</v>
      </c>
      <c r="C9" s="790"/>
      <c r="D9" s="660" t="s">
        <v>186</v>
      </c>
      <c r="E9" s="791"/>
      <c r="F9" s="792">
        <f>F7-F8</f>
        <v>105753896.93769997</v>
      </c>
      <c r="G9" s="793">
        <f>F9/F$24*100</f>
        <v>5.0829189065932399</v>
      </c>
      <c r="H9" s="792">
        <f>H7-H8</f>
        <v>101535048.82577825</v>
      </c>
      <c r="I9" s="724">
        <f>H9/H$24*100</f>
        <v>4.8545812597992137</v>
      </c>
      <c r="J9" s="794">
        <f>H9-F9</f>
        <v>-4218848.1119217277</v>
      </c>
      <c r="K9" s="792">
        <f>HV26</f>
        <v>123895104</v>
      </c>
      <c r="L9" s="724">
        <f>K9/K$24*100</f>
        <v>5.6468131509887716</v>
      </c>
      <c r="M9" s="794">
        <f>K9-H9</f>
        <v>22360055.174221754</v>
      </c>
      <c r="N9" s="792">
        <f>JZ26</f>
        <v>108820992.36065084</v>
      </c>
      <c r="O9" s="724">
        <f>N9/N$24*100</f>
        <v>4.9541470461992407</v>
      </c>
      <c r="P9" s="794">
        <f>N9-K9</f>
        <v>-15074111.639349163</v>
      </c>
      <c r="Q9" s="792">
        <f>N9-F9</f>
        <v>3067095.4229508638</v>
      </c>
      <c r="R9" s="723">
        <f>O9/G9-1</f>
        <v>-2.5334234671138378E-2</v>
      </c>
      <c r="V9" s="185"/>
      <c r="W9" s="186" t="s">
        <v>24</v>
      </c>
      <c r="X9" s="269"/>
      <c r="Y9" s="270"/>
      <c r="Z9" s="270"/>
      <c r="AA9" s="270"/>
      <c r="AB9" s="189"/>
      <c r="AC9" s="234"/>
      <c r="AF9" s="271">
        <f>AF8+1</f>
        <v>3</v>
      </c>
      <c r="AG9" s="816" t="s">
        <v>187</v>
      </c>
      <c r="AH9" s="817">
        <f>F14/AH7</f>
        <v>21.657528709018845</v>
      </c>
      <c r="AI9" s="817">
        <f>F15/AI7</f>
        <v>20.908375447703264</v>
      </c>
      <c r="AJ9" s="817">
        <f>F16/AJ7</f>
        <v>29.122560090542329</v>
      </c>
      <c r="AL9" s="273"/>
      <c r="AN9" s="222">
        <v>4</v>
      </c>
      <c r="AO9" s="18"/>
      <c r="AQ9" s="660" t="s">
        <v>188</v>
      </c>
      <c r="AR9" s="791"/>
      <c r="AS9" s="821">
        <v>40798541.478400007</v>
      </c>
      <c r="AT9" s="822">
        <v>3.9784808756709964</v>
      </c>
      <c r="AU9" s="783"/>
      <c r="AV9" s="821">
        <v>43143142.145199999</v>
      </c>
      <c r="AW9" s="822">
        <v>3.9977765121497129</v>
      </c>
      <c r="AX9" s="823">
        <f>AW9/AT9-1</f>
        <v>4.8500010636502999E-3</v>
      </c>
      <c r="AY9" s="783"/>
      <c r="AZ9" s="821">
        <v>52055496.75</v>
      </c>
      <c r="BA9" s="822">
        <v>4.0348819154069133</v>
      </c>
      <c r="BB9" s="823">
        <f>BA9/AW9-1</f>
        <v>9.2815101455603344E-3</v>
      </c>
      <c r="BC9" s="783"/>
      <c r="BD9" s="821">
        <v>59830706</v>
      </c>
      <c r="BE9" s="822">
        <v>4.0684254603524463</v>
      </c>
      <c r="BF9" s="823">
        <f>BE9/BA9-1</f>
        <v>8.313389499070345E-3</v>
      </c>
      <c r="BG9" s="783"/>
      <c r="BH9" s="821">
        <v>59786661.226033345</v>
      </c>
      <c r="BI9" s="822">
        <v>3.9342611202245616</v>
      </c>
      <c r="BJ9" s="823">
        <f>BI9/BE9-1</f>
        <v>-3.2976968961417885E-2</v>
      </c>
      <c r="BK9" s="783"/>
      <c r="BL9" s="821">
        <v>66021321</v>
      </c>
      <c r="BM9" s="822">
        <v>3.9248623221128827</v>
      </c>
      <c r="BN9" s="823">
        <f>BM9/BI9-1</f>
        <v>-2.3889614401452208E-3</v>
      </c>
      <c r="BO9" s="783"/>
      <c r="BP9" s="821">
        <v>81963127.490000069</v>
      </c>
      <c r="BQ9" s="822">
        <v>4.4189957395433002</v>
      </c>
      <c r="BR9" s="823">
        <f>BQ9/BM9-1</f>
        <v>0.12589828046870433</v>
      </c>
      <c r="BS9" s="783"/>
      <c r="BT9" s="660">
        <v>94550736.985399961</v>
      </c>
      <c r="BU9" s="660">
        <v>4.8189639488589151</v>
      </c>
      <c r="BV9" s="660">
        <f>BU9/BQ9-1</f>
        <v>9.0511109964761305E-2</v>
      </c>
      <c r="BW9" s="237">
        <v>96385423.959800005</v>
      </c>
      <c r="BX9" s="238">
        <v>4.9793229575775362</v>
      </c>
      <c r="BY9" s="824">
        <f>BX9/BU9-1</f>
        <v>3.3276656646620495E-2</v>
      </c>
      <c r="BZ9" s="824">
        <v>104384344.36159995</v>
      </c>
      <c r="CA9" s="824">
        <v>5.1171376873373191</v>
      </c>
      <c r="CB9" s="824">
        <f>CA9/BX9-1</f>
        <v>2.7677403320476746E-2</v>
      </c>
      <c r="CC9" s="956">
        <v>97424965.908500075</v>
      </c>
      <c r="CD9" s="956">
        <v>4.6875236286878099</v>
      </c>
      <c r="CE9" s="723">
        <f>CD9/CA9-1</f>
        <v>-8.3955931010536666E-2</v>
      </c>
      <c r="CF9" s="792">
        <f>F9</f>
        <v>105753896.93769997</v>
      </c>
      <c r="CG9" s="824">
        <f>G9</f>
        <v>5.0829189065932399</v>
      </c>
      <c r="CH9" s="723">
        <f>CG9/CD9-1</f>
        <v>8.4350567426603851E-2</v>
      </c>
      <c r="CI9" s="825">
        <f>CF9/AS9-1</f>
        <v>1.5920999404767771</v>
      </c>
      <c r="CJ9" s="723">
        <f>(CI9+1)^(1/(2022-2004))-1</f>
        <v>5.4339924883815671E-2</v>
      </c>
      <c r="CN9" s="274">
        <v>4</v>
      </c>
      <c r="CO9" s="275" t="s">
        <v>71</v>
      </c>
      <c r="CP9" s="276">
        <f>SUM(CP6:CP8)</f>
        <v>1754646.0788748774</v>
      </c>
      <c r="CQ9" s="277">
        <f>SUM(CQ6:CQ8)</f>
        <v>32674880.229199998</v>
      </c>
      <c r="CR9" s="277">
        <f>SUM(CR6:CR8)</f>
        <v>5326417.5981999999</v>
      </c>
      <c r="CS9" s="278">
        <f>SUM(CS6:CS8)</f>
        <v>38001297.827399999</v>
      </c>
      <c r="CT9" s="276">
        <f>SUM(CT6:CT8)</f>
        <v>1762701.0470566959</v>
      </c>
      <c r="CU9" s="277">
        <f>SUM(CU6:CU8)</f>
        <v>32842218.314654544</v>
      </c>
      <c r="CV9" s="277">
        <f>SUM(CV6:CV8)</f>
        <v>3970981.5330281532</v>
      </c>
      <c r="CW9" s="277">
        <f>SUM(CW6:CW8)</f>
        <v>36813199.8476827</v>
      </c>
      <c r="CY9" s="20"/>
      <c r="DA9" s="274">
        <v>4</v>
      </c>
      <c r="DB9" s="275" t="s">
        <v>71</v>
      </c>
      <c r="DC9" s="279">
        <f>SUM(DC6:DC8)</f>
        <v>86327.441190476195</v>
      </c>
      <c r="DD9" s="868">
        <f>SUM(DD6:DD8)</f>
        <v>1804966.5518499999</v>
      </c>
      <c r="DE9" s="279">
        <f>SUM(DE6:DE8)</f>
        <v>86370.623008658004</v>
      </c>
      <c r="DF9" s="869">
        <f>SUM(DF6:DF8)</f>
        <v>1805841.8473045453</v>
      </c>
      <c r="DG9" s="869">
        <f>SUM(DG6:DG8)</f>
        <v>1805841.8473045453</v>
      </c>
      <c r="DI9" s="20"/>
      <c r="DK9" s="274">
        <v>4</v>
      </c>
      <c r="DL9" s="275" t="s">
        <v>71</v>
      </c>
      <c r="DM9" s="279">
        <f>SUM(DM6:DM8)</f>
        <v>567379.8664464287</v>
      </c>
      <c r="DN9" s="280">
        <f>SUM(DN6:DN8)</f>
        <v>16523554.25475</v>
      </c>
      <c r="DO9" s="279">
        <f>SUM(DO6:DO8)</f>
        <v>570064.6364464286</v>
      </c>
      <c r="DP9" s="281">
        <f>SUM(DP6:DP8)</f>
        <v>17962433.615376391</v>
      </c>
      <c r="DT9" s="222">
        <v>4</v>
      </c>
      <c r="DU9" s="733" t="s">
        <v>189</v>
      </c>
      <c r="DV9" s="650">
        <v>745102.29810000001</v>
      </c>
      <c r="DW9" s="650">
        <v>846858.39999999991</v>
      </c>
      <c r="DX9" s="650">
        <v>1366842.7921999996</v>
      </c>
      <c r="DY9" s="650">
        <v>2958803.4902999997</v>
      </c>
      <c r="DZ9" s="792"/>
      <c r="EA9" s="650"/>
      <c r="EB9" s="650"/>
      <c r="EC9" s="650"/>
      <c r="EG9" s="282">
        <v>4</v>
      </c>
      <c r="EH9" s="283" t="s">
        <v>71</v>
      </c>
      <c r="EI9" s="284">
        <f>SUM(EI6:EI8)</f>
        <v>451090.18599999999</v>
      </c>
      <c r="EJ9" s="284">
        <f>SUM(EJ6:EJ8)</f>
        <v>1817830.5189999999</v>
      </c>
      <c r="EK9" s="284">
        <f>SUM(EK6:EK8)</f>
        <v>3631481.501164</v>
      </c>
      <c r="EL9" s="285">
        <f>SUM(EL6:EL8)</f>
        <v>5900402.2061640006</v>
      </c>
      <c r="EM9" s="284">
        <f>SUM(EM6:EM8)</f>
        <v>449815.8674539472</v>
      </c>
      <c r="EN9" s="284">
        <f>SUM(EN6:EN8)</f>
        <v>1817830.5189999999</v>
      </c>
      <c r="EO9" s="284">
        <f>SUM(EO6:EO8)</f>
        <v>3675012.1308598211</v>
      </c>
      <c r="EP9" s="284">
        <f>SUM(EP6:EP8)</f>
        <v>5942658.5173137691</v>
      </c>
      <c r="EQ9" s="16"/>
      <c r="ER9" s="266"/>
      <c r="ET9" s="282">
        <v>4</v>
      </c>
      <c r="EU9" s="283" t="s">
        <v>71</v>
      </c>
      <c r="EV9" s="284">
        <f>SUM(EV6:EV8)</f>
        <v>1227455.1140000001</v>
      </c>
      <c r="EW9" s="284">
        <f>SUM(EW6:EW8)</f>
        <v>1152595.8190000001</v>
      </c>
      <c r="EX9" s="284">
        <f>SUM(EX6:EX8)</f>
        <v>1416596.2439999999</v>
      </c>
      <c r="EY9" s="285">
        <f>SUM(EY6:EY8)</f>
        <v>3796647.1770000006</v>
      </c>
      <c r="EZ9" s="284">
        <f>SUM(EZ6:EZ8)</f>
        <v>1164701.1920819106</v>
      </c>
      <c r="FA9" s="284">
        <f>SUM(FA6:FA8)</f>
        <v>1091059.0536166667</v>
      </c>
      <c r="FB9" s="284">
        <f>SUM(FB6:FB8)</f>
        <v>1366659.5182101913</v>
      </c>
      <c r="FC9" s="285">
        <f>SUM(FC6:FC8)</f>
        <v>3622419.763908769</v>
      </c>
      <c r="FD9" s="284">
        <v>2645836.9796721428</v>
      </c>
      <c r="FE9" s="284">
        <v>976583.26027482667</v>
      </c>
      <c r="FF9" s="284">
        <f>SUM(FD9:FE9)</f>
        <v>3622420.2399469693</v>
      </c>
      <c r="FG9" s="16"/>
      <c r="FH9" s="266"/>
      <c r="FJ9" s="222">
        <f>FJ8+1</f>
        <v>4</v>
      </c>
      <c r="FK9" s="242"/>
      <c r="FL9" s="877" t="s">
        <v>190</v>
      </c>
      <c r="FM9" s="650">
        <v>187053.99349999998</v>
      </c>
      <c r="FN9" s="650">
        <v>201367.96999999997</v>
      </c>
      <c r="FO9" s="650">
        <v>211381.89823999998</v>
      </c>
      <c r="FP9" s="794">
        <f>FM9+FO9+FN9</f>
        <v>599803.86173999996</v>
      </c>
      <c r="FQ9" s="650">
        <v>187102.71895454542</v>
      </c>
      <c r="FR9" s="650">
        <v>201367.96999999997</v>
      </c>
      <c r="FS9" s="650">
        <v>211768.89823999998</v>
      </c>
      <c r="FT9" s="650">
        <v>600239.58719454543</v>
      </c>
      <c r="FU9" s="955">
        <v>600239.58719454543</v>
      </c>
      <c r="FV9" s="16"/>
      <c r="FW9" s="266"/>
      <c r="FY9" s="222">
        <v>4</v>
      </c>
      <c r="FZ9" s="969" t="s">
        <v>191</v>
      </c>
      <c r="GA9" s="650">
        <v>0</v>
      </c>
      <c r="GB9" s="650">
        <v>144.44999999999999</v>
      </c>
      <c r="GC9" s="650">
        <v>0</v>
      </c>
      <c r="GD9" s="794">
        <f>SUM(GA9:GC9)</f>
        <v>144.44999999999999</v>
      </c>
      <c r="GE9" s="650">
        <v>0</v>
      </c>
      <c r="GF9" s="650">
        <v>144.44999999999999</v>
      </c>
      <c r="GG9" s="650">
        <v>0</v>
      </c>
      <c r="GH9" s="650">
        <f>SUM(GE9:GG9)</f>
        <v>144.44999999999999</v>
      </c>
      <c r="GI9" s="202"/>
      <c r="GJ9" s="203"/>
      <c r="GL9" s="286">
        <v>4</v>
      </c>
      <c r="GM9" s="885" t="s">
        <v>192</v>
      </c>
      <c r="GN9" s="885">
        <f>GN7-GN8</f>
        <v>17336653.61379452</v>
      </c>
      <c r="GO9" s="885">
        <f>GO7-GO8</f>
        <v>36228582.601999998</v>
      </c>
      <c r="GP9" s="885">
        <f>GP7-GP8</f>
        <v>57810304.313600004</v>
      </c>
      <c r="GQ9" s="885">
        <f>SUM(GN9:GP9)</f>
        <v>111375540.52939452</v>
      </c>
      <c r="GR9" s="885">
        <f>GR7-GR8</f>
        <v>15104029.58157273</v>
      </c>
      <c r="GS9" s="885">
        <f>GS7-GS8</f>
        <v>34464321.422000006</v>
      </c>
      <c r="GT9" s="885">
        <f>GT7-GT8</f>
        <v>56786467.263899982</v>
      </c>
      <c r="GU9" s="885">
        <f>SUM(GR9:GT9)</f>
        <v>106354818.26747271</v>
      </c>
      <c r="GZ9" s="222">
        <v>4</v>
      </c>
      <c r="HA9" s="663">
        <v>4</v>
      </c>
      <c r="HB9" s="663">
        <v>10</v>
      </c>
      <c r="HC9" s="663">
        <v>11</v>
      </c>
      <c r="HD9" s="682">
        <v>24610749</v>
      </c>
      <c r="HE9" s="682">
        <v>27099362</v>
      </c>
      <c r="HF9" s="724">
        <f>HC9/HB9</f>
        <v>1.1000000000000001</v>
      </c>
      <c r="HG9" s="724">
        <f>HE9/HD9</f>
        <v>1.1011189460345152</v>
      </c>
      <c r="HH9" s="723">
        <v>1</v>
      </c>
      <c r="HI9" s="723">
        <v>0</v>
      </c>
      <c r="HJ9" s="723">
        <v>0</v>
      </c>
      <c r="HN9" s="243">
        <v>4</v>
      </c>
      <c r="HO9" s="891">
        <v>4</v>
      </c>
      <c r="HP9" s="793">
        <f>HG9</f>
        <v>1.1011189460345152</v>
      </c>
      <c r="HQ9" s="650">
        <v>14661</v>
      </c>
      <c r="HR9" s="794">
        <f>HP9*HQ9</f>
        <v>16143.504867812027</v>
      </c>
      <c r="HS9" s="650">
        <v>2674997</v>
      </c>
      <c r="HT9" s="975">
        <v>2941415</v>
      </c>
      <c r="HU9" s="650">
        <v>1284924.1558000001</v>
      </c>
      <c r="HV9" s="975">
        <v>1463576</v>
      </c>
      <c r="HW9" s="650">
        <v>225000</v>
      </c>
      <c r="HX9" s="955">
        <v>247500</v>
      </c>
      <c r="HY9" s="650">
        <f>SUM(HQ9,HU9,HW9)</f>
        <v>1524585.1558000001</v>
      </c>
      <c r="HZ9" s="650">
        <f>SUM(HR9,HV9,HX9)</f>
        <v>1727219.5048678119</v>
      </c>
      <c r="IA9" s="206"/>
      <c r="IB9" s="207"/>
      <c r="IC9" s="206"/>
      <c r="ID9" s="244">
        <v>4</v>
      </c>
      <c r="IE9" s="891">
        <v>4</v>
      </c>
      <c r="IF9" s="899">
        <f>HF9</f>
        <v>1.1000000000000001</v>
      </c>
      <c r="IG9" s="900">
        <f>HG9</f>
        <v>1.1011189460345152</v>
      </c>
      <c r="IH9" s="955">
        <v>488079.30426010059</v>
      </c>
      <c r="II9" s="794">
        <f>IH9*$IG9</f>
        <v>537433.36908814148</v>
      </c>
      <c r="IJ9" s="955">
        <v>49144.689999999995</v>
      </c>
      <c r="IK9" s="794">
        <f>IJ9*$IG9</f>
        <v>54114.149255992976</v>
      </c>
      <c r="IL9" s="955">
        <v>266927.91573989944</v>
      </c>
      <c r="IM9" s="794">
        <f>IL9*IF9</f>
        <v>293620.7073138894</v>
      </c>
      <c r="IN9" s="955">
        <v>446411.14275394066</v>
      </c>
      <c r="IO9" s="995">
        <v>464523.93858632422</v>
      </c>
      <c r="IP9" s="955">
        <v>36638.874999999985</v>
      </c>
      <c r="IQ9" s="794">
        <f>IP9*$IG9</f>
        <v>40343.759423890333</v>
      </c>
      <c r="IR9" s="955">
        <v>45956.791999999987</v>
      </c>
      <c r="IS9" s="794">
        <f>IR9*$IG9</f>
        <v>50603.894370167429</v>
      </c>
      <c r="IT9" s="955">
        <v>54174.032000000007</v>
      </c>
      <c r="IU9" s="794">
        <f>IT9*$IG9</f>
        <v>59652.053018280109</v>
      </c>
      <c r="IV9" s="955">
        <v>148516.94685000001</v>
      </c>
      <c r="IW9" s="794">
        <f>IV9*$IG9</f>
        <v>163534.82398373613</v>
      </c>
      <c r="IX9" s="650">
        <f>IH9+IJ9+IL9+IN9+IP9+IT9+IV9+IR9</f>
        <v>1535849.6986039407</v>
      </c>
      <c r="IY9" s="650">
        <f>II9+IK9+IM9+IO9+IQ9+IU9+IW9+IS9</f>
        <v>1663826.6950404223</v>
      </c>
      <c r="IZ9" s="683">
        <f>IY9/HE9*100</f>
        <v>6.1397264446315098</v>
      </c>
      <c r="JD9" s="222">
        <v>4</v>
      </c>
      <c r="JE9" s="663">
        <v>4</v>
      </c>
      <c r="JF9" s="660">
        <f>HC9</f>
        <v>11</v>
      </c>
      <c r="JG9" s="660">
        <f>JF9</f>
        <v>11</v>
      </c>
      <c r="JH9" s="905">
        <f>HE9</f>
        <v>27099362</v>
      </c>
      <c r="JI9" s="905">
        <f>JH9*$JK$26</f>
        <v>27130145.843057044</v>
      </c>
      <c r="JJ9" s="906">
        <f>JG9/JF9</f>
        <v>1</v>
      </c>
      <c r="JK9" s="906">
        <f>JI9/JH9</f>
        <v>1.0011359619114666</v>
      </c>
      <c r="JL9" s="906">
        <f>LC10/LB10</f>
        <v>1.035853659396694</v>
      </c>
      <c r="JM9" s="663" t="s">
        <v>424</v>
      </c>
      <c r="JN9" s="209"/>
      <c r="JO9" s="210"/>
      <c r="JP9" s="209"/>
      <c r="JQ9" s="222">
        <v>4</v>
      </c>
      <c r="JR9" s="663">
        <v>4</v>
      </c>
      <c r="JS9" s="914" t="str">
        <f>JM9</f>
        <v>Q4</v>
      </c>
      <c r="JT9" s="913">
        <f>JL9</f>
        <v>1.035853659396694</v>
      </c>
      <c r="JU9" s="671">
        <f>HR9</f>
        <v>16143.504867812027</v>
      </c>
      <c r="JV9" s="671">
        <f>JU9*JL9</f>
        <v>16722.308592811431</v>
      </c>
      <c r="JW9" s="671">
        <f>HT9</f>
        <v>2941415</v>
      </c>
      <c r="JX9" s="671">
        <f>HE9/$HE$26*$JX$26</f>
        <v>2994007.0427452018</v>
      </c>
      <c r="JY9" s="671">
        <f>HV9</f>
        <v>1463576</v>
      </c>
      <c r="JZ9" s="671">
        <f>HE9/$HE$26*$JZ$26</f>
        <v>1344067.3189133566</v>
      </c>
      <c r="KA9" s="671">
        <f>HX9</f>
        <v>247500</v>
      </c>
      <c r="KB9" s="671">
        <f>HE9/$HE$26*$KB$26</f>
        <v>58663.134626388877</v>
      </c>
      <c r="KC9" s="671">
        <f>SUM(JU9,JY9,KA9)</f>
        <v>1727219.5048678119</v>
      </c>
      <c r="KD9" s="671">
        <f>SUM(JV9,JZ9,KB9)</f>
        <v>1419452.7621325569</v>
      </c>
      <c r="KE9" s="211"/>
      <c r="KF9" s="210"/>
      <c r="KG9" s="209"/>
      <c r="KH9" s="245">
        <f>KH8+1</f>
        <v>4</v>
      </c>
      <c r="KI9" s="917">
        <v>3</v>
      </c>
      <c r="KJ9" s="918">
        <f>JJ8</f>
        <v>0.91666666666666663</v>
      </c>
      <c r="KK9" s="918">
        <f>JK8</f>
        <v>1.0011359619114666</v>
      </c>
      <c r="KL9" s="898">
        <v>1.6546666699999999</v>
      </c>
      <c r="KM9" s="801">
        <f>II8*KM$6/KL9*JK8</f>
        <v>960442.01451142121</v>
      </c>
      <c r="KN9" s="898">
        <v>1.6546666699999999</v>
      </c>
      <c r="KO9" s="801">
        <f>IK8*KO$6/KN9*KK9</f>
        <v>53348.86768809666</v>
      </c>
      <c r="KP9" s="898">
        <v>1.6546666699999999</v>
      </c>
      <c r="KQ9" s="801">
        <f>IM8*KQ$6/KP9*KJ9</f>
        <v>393658.57324517204</v>
      </c>
      <c r="KR9" s="898">
        <v>1.6546666699999999</v>
      </c>
      <c r="KS9" s="801">
        <f>IO8*KS$6/KR9*KJ9</f>
        <v>539269.90087968996</v>
      </c>
      <c r="KT9" s="898">
        <v>1.6546666699999999</v>
      </c>
      <c r="KU9" s="801">
        <f>IQ8*KU$6/KT9*KK9</f>
        <v>99402.230443721273</v>
      </c>
      <c r="KV9" s="898">
        <v>1.6546666699999999</v>
      </c>
      <c r="KW9" s="801">
        <f>IS8*KW$6/KV9*KK9</f>
        <v>87779.855520158089</v>
      </c>
      <c r="KX9" s="898">
        <v>1.6546666699999999</v>
      </c>
      <c r="KY9" s="801">
        <f>IU8*KY$6/KX9*$KK9</f>
        <v>14122.041354035689</v>
      </c>
      <c r="KZ9" s="898">
        <v>1.6546666699999999</v>
      </c>
      <c r="LA9" s="919">
        <f>IW8*LA$6/KZ9*$KK9</f>
        <v>286850.33545103337</v>
      </c>
      <c r="LB9" s="646">
        <f>IY8</f>
        <v>2432330.3221154893</v>
      </c>
      <c r="LC9" s="646">
        <f>KM9+KO9+KQ9+KS9+KU9+KY9+LA9+KW9</f>
        <v>2434873.819093328</v>
      </c>
      <c r="LD9" s="16"/>
      <c r="LE9" s="220"/>
      <c r="LG9" s="222">
        <v>4</v>
      </c>
      <c r="LH9" s="922">
        <v>4</v>
      </c>
      <c r="LI9" s="650">
        <f>HY9</f>
        <v>1524585.1558000001</v>
      </c>
      <c r="LJ9" s="650">
        <f>HZ9</f>
        <v>1727219.5048678119</v>
      </c>
      <c r="LK9" s="794">
        <f>KD9</f>
        <v>1419452.7621325569</v>
      </c>
      <c r="LL9" s="650">
        <f>IX9</f>
        <v>1535849.6986039407</v>
      </c>
      <c r="LM9" s="650">
        <f>IY9</f>
        <v>1663826.6950404223</v>
      </c>
      <c r="LN9" s="794">
        <f>LC10</f>
        <v>1723480.9706595286</v>
      </c>
      <c r="LO9" s="650">
        <f>LI9-LL9</f>
        <v>-11264.542803940596</v>
      </c>
      <c r="LP9" s="650">
        <f>LJ9-LM9</f>
        <v>63392.809827389661</v>
      </c>
      <c r="LQ9" s="650">
        <f>LK9-LN9</f>
        <v>-304028.20852697175</v>
      </c>
      <c r="LU9" s="222">
        <f>LU8+1</f>
        <v>4</v>
      </c>
      <c r="LV9" s="812" t="s">
        <v>193</v>
      </c>
      <c r="LW9" s="650">
        <f>LW7+LW8</f>
        <v>352364004.54419863</v>
      </c>
      <c r="MA9" s="192">
        <f>MA8+1</f>
        <v>3</v>
      </c>
      <c r="MB9" s="814" t="s">
        <v>194</v>
      </c>
      <c r="MC9" s="860">
        <f>N9</f>
        <v>108820992.36065084</v>
      </c>
      <c r="MD9" s="928">
        <f>MC9/$MC$34*100</f>
        <v>4.9541470461992407</v>
      </c>
      <c r="ME9" s="796"/>
      <c r="MF9" s="798">
        <f>MC30</f>
        <v>124946591.24559426</v>
      </c>
      <c r="MG9" s="928">
        <f>MF9/$MG$34*100</f>
        <v>5.6882755112225345</v>
      </c>
      <c r="MK9" s="192">
        <f>MK8+1</f>
        <v>3</v>
      </c>
      <c r="ML9" s="814" t="str">
        <f>MB9</f>
        <v>Base Handling Commissions (HC)</v>
      </c>
      <c r="MM9" s="979">
        <v>131674066.73842122</v>
      </c>
      <c r="MN9" s="860">
        <f>MC9</f>
        <v>108820992.36065084</v>
      </c>
      <c r="MO9" s="860">
        <f>MN9-MM9</f>
        <v>-22853074.377770379</v>
      </c>
      <c r="MP9" s="830">
        <f>MO9/MM9</f>
        <v>-0.17355789901415777</v>
      </c>
    </row>
    <row r="10" spans="1:405" s="29" customFormat="1" ht="16.5" x14ac:dyDescent="0.3">
      <c r="B10" s="181">
        <f>B9+1</f>
        <v>5</v>
      </c>
      <c r="C10" s="795"/>
      <c r="D10" s="796" t="s">
        <v>195</v>
      </c>
      <c r="E10" s="797"/>
      <c r="F10" s="798">
        <f>GD12</f>
        <v>1116505.0026</v>
      </c>
      <c r="G10" s="799">
        <f>F10/F$24*100</f>
        <v>5.3663312193258469E-2</v>
      </c>
      <c r="H10" s="798">
        <f>GH12</f>
        <v>314630.85259999998</v>
      </c>
      <c r="I10" s="800">
        <f>H10/H$24*100</f>
        <v>1.504309160679523E-2</v>
      </c>
      <c r="J10" s="801">
        <f>H10-F10</f>
        <v>-801874.15</v>
      </c>
      <c r="K10" s="798">
        <f>HR26</f>
        <v>323903.59259512648</v>
      </c>
      <c r="L10" s="800">
        <f>K10/K$24*100</f>
        <v>1.4762674288716604E-2</v>
      </c>
      <c r="M10" s="801">
        <f>K10-H10</f>
        <v>9272.7399951264961</v>
      </c>
      <c r="N10" s="798">
        <f>JV26</f>
        <v>335624.95105193462</v>
      </c>
      <c r="O10" s="800">
        <f>N10/N$24*100</f>
        <v>1.5279546012355092E-2</v>
      </c>
      <c r="P10" s="801">
        <f>N10-K10</f>
        <v>11721.358456808142</v>
      </c>
      <c r="Q10" s="798">
        <f>N10-F10</f>
        <v>-780880.05154806538</v>
      </c>
      <c r="R10" s="802">
        <f>O10/G10-1</f>
        <v>-0.71527016526060416</v>
      </c>
      <c r="S10" s="12"/>
      <c r="T10" s="13"/>
      <c r="U10" s="12"/>
      <c r="V10" s="165">
        <f>V8+1</f>
        <v>3</v>
      </c>
      <c r="W10" s="805" t="s">
        <v>172</v>
      </c>
      <c r="X10" s="955">
        <v>-2556595.7831702125</v>
      </c>
      <c r="Y10" s="955">
        <v>1170566.5451474434</v>
      </c>
      <c r="Z10" s="955">
        <v>6455212.4211677872</v>
      </c>
      <c r="AA10" s="1001">
        <f>SUM(X10:Z10)</f>
        <v>5069183.1831450183</v>
      </c>
      <c r="AB10" s="18" t="s">
        <v>431</v>
      </c>
      <c r="AC10" s="12"/>
      <c r="AD10" s="13"/>
      <c r="AE10" s="12"/>
      <c r="AF10" s="252">
        <f>AF9+1</f>
        <v>4</v>
      </c>
      <c r="AG10" s="191" t="s">
        <v>24</v>
      </c>
      <c r="AK10" s="12"/>
      <c r="AL10" s="13"/>
      <c r="AM10" s="12"/>
      <c r="AN10" s="192">
        <v>5</v>
      </c>
      <c r="AO10" s="254"/>
      <c r="AQ10" s="796" t="s">
        <v>195</v>
      </c>
      <c r="AR10" s="797"/>
      <c r="AS10" s="827">
        <v>351000.77</v>
      </c>
      <c r="AT10" s="828">
        <v>3.4227935612112924E-2</v>
      </c>
      <c r="AU10" s="829"/>
      <c r="AV10" s="827">
        <v>392967.44999999995</v>
      </c>
      <c r="AW10" s="828">
        <v>3.6413574986312203E-2</v>
      </c>
      <c r="AX10" s="830">
        <f>AW10/AT10-1</f>
        <v>6.3855424965384211E-2</v>
      </c>
      <c r="AY10" s="829"/>
      <c r="AZ10" s="827">
        <v>419971.50999999995</v>
      </c>
      <c r="BA10" s="828">
        <v>3.2552478729062043E-2</v>
      </c>
      <c r="BB10" s="830">
        <f>BA10/AW10-1</f>
        <v>-0.10603452857077444</v>
      </c>
      <c r="BC10" s="829"/>
      <c r="BD10" s="827">
        <v>465783.3236</v>
      </c>
      <c r="BE10" s="828">
        <v>3.1672779070028398E-2</v>
      </c>
      <c r="BF10" s="830">
        <f>BE10/BA10-1</f>
        <v>-2.7024045276413E-2</v>
      </c>
      <c r="BG10" s="829"/>
      <c r="BH10" s="827">
        <v>1360261.3124000002</v>
      </c>
      <c r="BI10" s="828">
        <v>8.9511992892331985E-2</v>
      </c>
      <c r="BJ10" s="830">
        <f>BI10/BE10-1</f>
        <v>1.8261489998847686</v>
      </c>
      <c r="BK10" s="829"/>
      <c r="BL10" s="827">
        <v>1390376.9787000001</v>
      </c>
      <c r="BM10" s="828">
        <v>8.2655695684016636E-2</v>
      </c>
      <c r="BN10" s="830">
        <f>BM10/BI10-1</f>
        <v>-7.6596408891960732E-2</v>
      </c>
      <c r="BO10" s="829"/>
      <c r="BP10" s="827">
        <v>770218.05</v>
      </c>
      <c r="BQ10" s="828">
        <v>4.1525871275282955E-2</v>
      </c>
      <c r="BR10" s="830">
        <f>BQ10/BM10-1</f>
        <v>-0.49760423729259196</v>
      </c>
      <c r="BS10" s="829"/>
      <c r="BT10" s="796">
        <v>1472526.2590000001</v>
      </c>
      <c r="BU10" s="796">
        <v>7.5050191908761346E-2</v>
      </c>
      <c r="BV10" s="796">
        <f>BU10/BQ10-1</f>
        <v>0.8073116735164747</v>
      </c>
      <c r="BW10" s="258">
        <v>11886052.370000001</v>
      </c>
      <c r="BX10" s="259">
        <v>0.6140398725184244</v>
      </c>
      <c r="BY10" s="831">
        <f>BX10/BU10-1</f>
        <v>7.1817228830662252</v>
      </c>
      <c r="BZ10" s="831">
        <v>6021594.1700000009</v>
      </c>
      <c r="CA10" s="831">
        <v>0.29519107155012259</v>
      </c>
      <c r="CB10" s="831">
        <f>CA10/BX10-1</f>
        <v>-0.51926400098510661</v>
      </c>
      <c r="CC10" s="956">
        <v>2435490.3939</v>
      </c>
      <c r="CD10" s="956">
        <v>0.11718165526042415</v>
      </c>
      <c r="CE10" s="802">
        <f>CD10/CA10-1</f>
        <v>-0.60303116674541068</v>
      </c>
      <c r="CF10" s="798">
        <f>F10</f>
        <v>1116505.0026</v>
      </c>
      <c r="CG10" s="831">
        <f>G10</f>
        <v>5.3663312193258469E-2</v>
      </c>
      <c r="CH10" s="802">
        <f>CG10/CD10-1</f>
        <v>-0.54205022898851118</v>
      </c>
      <c r="CI10" s="832">
        <f>CF10/AS10-1</f>
        <v>2.1809189552490156</v>
      </c>
      <c r="CJ10" s="802">
        <f>(CI10+1)^(1/(2022-2004))-1</f>
        <v>6.6398656147326873E-2</v>
      </c>
      <c r="CK10" s="12"/>
      <c r="CL10" s="13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20"/>
      <c r="CZ10" s="12"/>
      <c r="DA10" s="287"/>
      <c r="DB10" s="288"/>
      <c r="DC10" s="289"/>
      <c r="DD10" s="12"/>
      <c r="DE10" s="289"/>
      <c r="DF10" s="12"/>
      <c r="DG10" s="12"/>
      <c r="DH10" s="12"/>
      <c r="DI10" s="20"/>
      <c r="DJ10" s="12"/>
      <c r="DK10" s="12"/>
      <c r="DL10" s="12"/>
      <c r="DM10" s="12"/>
      <c r="DN10" s="12"/>
      <c r="DO10" s="12"/>
      <c r="DP10" s="12"/>
      <c r="DQ10" s="12"/>
      <c r="DR10" s="13"/>
      <c r="DS10" s="12"/>
      <c r="DT10" s="192">
        <v>5</v>
      </c>
      <c r="DU10" s="874" t="s">
        <v>196</v>
      </c>
      <c r="DV10" s="860"/>
      <c r="DW10" s="860"/>
      <c r="DX10" s="860"/>
      <c r="DY10" s="860"/>
      <c r="DZ10" s="954">
        <v>3188331.9858326707</v>
      </c>
      <c r="EA10" s="955">
        <v>5333427.9915022952</v>
      </c>
      <c r="EB10" s="955">
        <v>7194319.2214661567</v>
      </c>
      <c r="EC10" s="955">
        <v>15716079.198801123</v>
      </c>
      <c r="ED10" s="12"/>
      <c r="EE10" s="13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6"/>
      <c r="ER10" s="266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951" t="s">
        <v>197</v>
      </c>
      <c r="FF10" s="12"/>
      <c r="FG10" s="16"/>
      <c r="FH10" s="266"/>
      <c r="FI10" s="12"/>
      <c r="FJ10" s="192">
        <f>FJ9+1</f>
        <v>5</v>
      </c>
      <c r="FK10" s="265"/>
      <c r="FL10" s="878" t="s">
        <v>198</v>
      </c>
      <c r="FM10" s="860">
        <v>27043.4</v>
      </c>
      <c r="FN10" s="860">
        <v>143518.97</v>
      </c>
      <c r="FO10" s="860">
        <v>26153.77</v>
      </c>
      <c r="FP10" s="801">
        <f>FM10+FO10+FN10</f>
        <v>196716.14</v>
      </c>
      <c r="FQ10" s="860">
        <v>0</v>
      </c>
      <c r="FR10" s="860">
        <v>0</v>
      </c>
      <c r="FS10" s="860">
        <v>0</v>
      </c>
      <c r="FT10" s="860">
        <v>0</v>
      </c>
      <c r="FU10" s="955">
        <v>0</v>
      </c>
      <c r="FV10" s="16"/>
      <c r="FW10" s="266"/>
      <c r="FX10" s="12"/>
      <c r="FY10" s="192">
        <v>5</v>
      </c>
      <c r="FZ10" s="969" t="s">
        <v>199</v>
      </c>
      <c r="GA10" s="860">
        <v>2264.3409999999999</v>
      </c>
      <c r="GB10" s="860">
        <v>71321</v>
      </c>
      <c r="GC10" s="860">
        <v>90199.61</v>
      </c>
      <c r="GD10" s="801">
        <f>SUM(GA10:GC10)</f>
        <v>163784.951</v>
      </c>
      <c r="GE10" s="860">
        <v>2264.3409999999994</v>
      </c>
      <c r="GF10" s="860">
        <v>71321</v>
      </c>
      <c r="GG10" s="860">
        <v>90199.61</v>
      </c>
      <c r="GH10" s="860">
        <f>SUM(GE10:GG10)</f>
        <v>163784.951</v>
      </c>
      <c r="GI10" s="202"/>
      <c r="GJ10" s="203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204"/>
      <c r="GW10" s="290"/>
      <c r="GX10" s="12"/>
      <c r="GY10" s="12"/>
      <c r="GZ10" s="192">
        <v>5</v>
      </c>
      <c r="HA10" s="886">
        <v>5</v>
      </c>
      <c r="HB10" s="886">
        <v>10</v>
      </c>
      <c r="HC10" s="886">
        <v>10</v>
      </c>
      <c r="HD10" s="887">
        <v>27582468</v>
      </c>
      <c r="HE10" s="887">
        <v>27845108</v>
      </c>
      <c r="HF10" s="800">
        <f>HC10/HB10</f>
        <v>1</v>
      </c>
      <c r="HG10" s="800">
        <f>HE10/HD10</f>
        <v>1.0095219905629909</v>
      </c>
      <c r="HH10" s="802">
        <v>1</v>
      </c>
      <c r="HI10" s="802">
        <v>0</v>
      </c>
      <c r="HJ10" s="802">
        <v>0</v>
      </c>
      <c r="HK10" s="12"/>
      <c r="HL10" s="13"/>
      <c r="HM10" s="12"/>
      <c r="HN10" s="267">
        <v>5</v>
      </c>
      <c r="HO10" s="892">
        <v>5</v>
      </c>
      <c r="HP10" s="799">
        <f>HG10</f>
        <v>1.0095219905629909</v>
      </c>
      <c r="HQ10" s="860">
        <v>18003.84</v>
      </c>
      <c r="HR10" s="801">
        <f>HP10*HQ10</f>
        <v>18175.272394577598</v>
      </c>
      <c r="HS10" s="860">
        <v>2986640</v>
      </c>
      <c r="HT10" s="975">
        <v>3015599</v>
      </c>
      <c r="HU10" s="860">
        <v>1473505.2203000002</v>
      </c>
      <c r="HV10" s="975">
        <v>1517912</v>
      </c>
      <c r="HW10" s="860">
        <v>225000</v>
      </c>
      <c r="HX10" s="955">
        <v>225000</v>
      </c>
      <c r="HY10" s="860">
        <f>SUM(HQ10,HU10,HW10)</f>
        <v>1716509.0603000002</v>
      </c>
      <c r="HZ10" s="860">
        <f>SUM(HR10,HV10,HX10)</f>
        <v>1761087.2723945775</v>
      </c>
      <c r="IA10" s="206"/>
      <c r="IB10" s="207"/>
      <c r="IC10" s="206"/>
      <c r="ID10" s="208">
        <v>5</v>
      </c>
      <c r="IE10" s="892">
        <v>5</v>
      </c>
      <c r="IF10" s="896">
        <f>HF10</f>
        <v>1</v>
      </c>
      <c r="IG10" s="897">
        <f>HG10</f>
        <v>1.0095219905629909</v>
      </c>
      <c r="IH10" s="955">
        <v>355051.0988864348</v>
      </c>
      <c r="II10" s="801">
        <f>IH10*$IG10</f>
        <v>358431.89209941099</v>
      </c>
      <c r="IJ10" s="955">
        <v>26799.5</v>
      </c>
      <c r="IK10" s="801">
        <f>IJ10*$IG10</f>
        <v>27054.684586092873</v>
      </c>
      <c r="IL10" s="955">
        <v>435175.40111356514</v>
      </c>
      <c r="IM10" s="801">
        <f>IL10*IF10</f>
        <v>435175.40111356514</v>
      </c>
      <c r="IN10" s="955">
        <v>413268.48496479425</v>
      </c>
      <c r="IO10" s="995">
        <v>413268.48496479425</v>
      </c>
      <c r="IP10" s="955">
        <v>91183.847999999984</v>
      </c>
      <c r="IQ10" s="801">
        <f>IP10*$IG10</f>
        <v>92052.099740153179</v>
      </c>
      <c r="IR10" s="955">
        <v>53589.08</v>
      </c>
      <c r="IS10" s="801">
        <f>IR10*$IG10</f>
        <v>54099.354714039364</v>
      </c>
      <c r="IT10" s="955">
        <v>37897.01</v>
      </c>
      <c r="IU10" s="801">
        <f>IT10*$IG10</f>
        <v>38257.864971585572</v>
      </c>
      <c r="IV10" s="955">
        <v>219214.09419999996</v>
      </c>
      <c r="IW10" s="801">
        <f>IV10*$IG10</f>
        <v>221301.44873624694</v>
      </c>
      <c r="IX10" s="860">
        <f>IH10+IJ10+IL10+IN10+IP10+IT10+IV10+IR10</f>
        <v>1632178.5171647943</v>
      </c>
      <c r="IY10" s="860">
        <f>II10+IK10+IM10+IO10+IQ10+IU10+IW10+IS10</f>
        <v>1639641.2309258883</v>
      </c>
      <c r="IZ10" s="898">
        <f>IY10/HE10*100</f>
        <v>5.8884355231299095</v>
      </c>
      <c r="JA10" s="12"/>
      <c r="JB10" s="13"/>
      <c r="JC10" s="12"/>
      <c r="JD10" s="192">
        <v>5</v>
      </c>
      <c r="JE10" s="886">
        <v>5</v>
      </c>
      <c r="JF10" s="796">
        <f>HC10</f>
        <v>10</v>
      </c>
      <c r="JG10" s="796">
        <f>JF10</f>
        <v>10</v>
      </c>
      <c r="JH10" s="859">
        <f>HE10</f>
        <v>27845108</v>
      </c>
      <c r="JI10" s="859">
        <f>JH10*$JK$26</f>
        <v>27876738.982108675</v>
      </c>
      <c r="JJ10" s="904">
        <f>JG10/JF10</f>
        <v>1</v>
      </c>
      <c r="JK10" s="904">
        <f>JI10/JH10</f>
        <v>1.0011359619114666</v>
      </c>
      <c r="JL10" s="904">
        <f>LC11/LB11</f>
        <v>1.0357809921616496</v>
      </c>
      <c r="JM10" s="886" t="s">
        <v>424</v>
      </c>
      <c r="JN10" s="209"/>
      <c r="JO10" s="210"/>
      <c r="JP10" s="209"/>
      <c r="JQ10" s="192">
        <v>5</v>
      </c>
      <c r="JR10" s="886">
        <v>5</v>
      </c>
      <c r="JS10" s="910" t="str">
        <f>JM10</f>
        <v>Q4</v>
      </c>
      <c r="JT10" s="911">
        <f>JL10</f>
        <v>1.0357809921616496</v>
      </c>
      <c r="JU10" s="860">
        <f>HR10</f>
        <v>18175.272394577598</v>
      </c>
      <c r="JV10" s="860">
        <f>JU10*JL10</f>
        <v>18825.601673663827</v>
      </c>
      <c r="JW10" s="860">
        <f>HT10</f>
        <v>3015599</v>
      </c>
      <c r="JX10" s="860">
        <f>HE10/$HE$26*$JX$26</f>
        <v>3076398.9741899003</v>
      </c>
      <c r="JY10" s="860">
        <f>HV10</f>
        <v>1517912</v>
      </c>
      <c r="JZ10" s="860">
        <f>HE10/$HE$26*$JZ$26</f>
        <v>1381054.640858809</v>
      </c>
      <c r="KA10" s="860">
        <f>HX10</f>
        <v>225000</v>
      </c>
      <c r="KB10" s="860">
        <f>HE10/$HE$26*$KB$26</f>
        <v>60277.482521187696</v>
      </c>
      <c r="KC10" s="860">
        <f>SUM(JU10,JY10,KA10)</f>
        <v>1761087.2723945775</v>
      </c>
      <c r="KD10" s="860">
        <f>SUM(JV10,JZ10,KB10)</f>
        <v>1460157.7250536606</v>
      </c>
      <c r="KE10" s="211"/>
      <c r="KF10" s="210"/>
      <c r="KG10" s="209"/>
      <c r="KH10" s="243">
        <f>KH9+1</f>
        <v>5</v>
      </c>
      <c r="KI10" s="891">
        <v>4</v>
      </c>
      <c r="KJ10" s="920">
        <f>JJ9</f>
        <v>1</v>
      </c>
      <c r="KK10" s="920">
        <f>JK9</f>
        <v>1.0011359619114666</v>
      </c>
      <c r="KL10" s="683">
        <v>1.6546666699999999</v>
      </c>
      <c r="KM10" s="794">
        <f>II9*KM$6/KL10*JK9</f>
        <v>556990.30205074546</v>
      </c>
      <c r="KN10" s="683">
        <v>1.6546666699999999</v>
      </c>
      <c r="KO10" s="794">
        <f>IK9*KO$6/KN10*KK10</f>
        <v>56083.336229111941</v>
      </c>
      <c r="KP10" s="683">
        <v>1.6546666699999999</v>
      </c>
      <c r="KQ10" s="794">
        <f>IM9*KQ$6/KP10*KJ10</f>
        <v>303960.1316634625</v>
      </c>
      <c r="KR10" s="683">
        <v>1.6546666699999999</v>
      </c>
      <c r="KS10" s="794">
        <f>IO9*KS$6/KR10*KJ10</f>
        <v>480881.47060617793</v>
      </c>
      <c r="KT10" s="683">
        <v>1.6546666699999999</v>
      </c>
      <c r="KU10" s="794">
        <f>IQ9*KU$6/KT10*KK10</f>
        <v>41811.848760901798</v>
      </c>
      <c r="KV10" s="683">
        <v>1.6546666699999999</v>
      </c>
      <c r="KW10" s="794">
        <f>IS9*KW$6/KV10*KK10</f>
        <v>52445.344914117093</v>
      </c>
      <c r="KX10" s="683">
        <v>1.6546666699999999</v>
      </c>
      <c r="KY10" s="794">
        <f>IU9*KY$6/KX10*$KK10</f>
        <v>61822.761554557976</v>
      </c>
      <c r="KZ10" s="683">
        <v>1.6546666699999999</v>
      </c>
      <c r="LA10" s="794">
        <f>IW9*LA$6/KZ10*$KK10</f>
        <v>169485.774880454</v>
      </c>
      <c r="LB10" s="650">
        <f>IY9</f>
        <v>1663826.6950404223</v>
      </c>
      <c r="LC10" s="650">
        <f>KM10+KO10+KQ10+KS10+KU10+KY10+LA10+KW10</f>
        <v>1723480.9706595286</v>
      </c>
      <c r="LD10" s="16"/>
      <c r="LE10" s="220"/>
      <c r="LF10" s="12"/>
      <c r="LG10" s="192">
        <v>5</v>
      </c>
      <c r="LH10" s="921">
        <v>5</v>
      </c>
      <c r="LI10" s="860">
        <f>HY10</f>
        <v>1716509.0603000002</v>
      </c>
      <c r="LJ10" s="860">
        <f>HZ10</f>
        <v>1761087.2723945775</v>
      </c>
      <c r="LK10" s="801">
        <f>KD10</f>
        <v>1460157.7250536606</v>
      </c>
      <c r="LL10" s="860">
        <f>IX10</f>
        <v>1632178.5171647943</v>
      </c>
      <c r="LM10" s="860">
        <f>IY10</f>
        <v>1639641.2309258883</v>
      </c>
      <c r="LN10" s="801">
        <f>LC11</f>
        <v>1698309.2209575651</v>
      </c>
      <c r="LO10" s="860">
        <f>LI10-LL10</f>
        <v>84330.543135205982</v>
      </c>
      <c r="LP10" s="860">
        <f>LJ10-LM10</f>
        <v>121446.04146868922</v>
      </c>
      <c r="LQ10" s="860">
        <f>LK10-LN10</f>
        <v>-238151.49590390455</v>
      </c>
      <c r="LR10" s="12"/>
      <c r="LS10" s="13"/>
      <c r="LT10" s="12"/>
      <c r="LU10" s="192">
        <f>LU9+1</f>
        <v>5</v>
      </c>
      <c r="LV10" s="291" t="s">
        <v>200</v>
      </c>
      <c r="LW10" s="292"/>
      <c r="LX10" s="12"/>
      <c r="LY10" s="13"/>
      <c r="LZ10" s="12"/>
      <c r="MA10" s="222">
        <f>MA9+1</f>
        <v>4</v>
      </c>
      <c r="MB10" s="812" t="s">
        <v>195</v>
      </c>
      <c r="MC10" s="650">
        <f>N10</f>
        <v>335624.95105193462</v>
      </c>
      <c r="MD10" s="747">
        <f>MC10/$MC$34*100</f>
        <v>1.5279546012355092E-2</v>
      </c>
      <c r="ME10" s="660"/>
      <c r="MF10" s="792">
        <f>MC10</f>
        <v>335624.95105193462</v>
      </c>
      <c r="MG10" s="747">
        <f>MF10/$MG$34*100</f>
        <v>1.5279546012355092E-2</v>
      </c>
      <c r="MH10" s="12"/>
      <c r="MI10" s="13"/>
      <c r="MJ10" s="12"/>
      <c r="MK10" s="222">
        <f>MK9+1</f>
        <v>4</v>
      </c>
      <c r="ML10" s="812" t="str">
        <f>MB10</f>
        <v>Misc Revenue</v>
      </c>
      <c r="MM10" s="979">
        <v>204693.58767693696</v>
      </c>
      <c r="MN10" s="650">
        <f>MC10</f>
        <v>335624.95105193462</v>
      </c>
      <c r="MO10" s="650">
        <f>MN10-MM10</f>
        <v>130931.36337499766</v>
      </c>
      <c r="MP10" s="723">
        <f>MO10/MM10</f>
        <v>0.63964565212293567</v>
      </c>
      <c r="MQ10" s="12"/>
      <c r="MR10" s="13"/>
      <c r="MS10" s="12"/>
    </row>
    <row r="11" spans="1:405" ht="16.5" x14ac:dyDescent="0.3">
      <c r="B11" s="143">
        <f>B10+1</f>
        <v>6</v>
      </c>
      <c r="C11" s="790"/>
      <c r="D11" s="660" t="s">
        <v>44</v>
      </c>
      <c r="E11" s="791"/>
      <c r="F11" s="954">
        <v>4505138.589094514</v>
      </c>
      <c r="G11" s="793">
        <f>F11/F$24*100</f>
        <v>0.21653343067652001</v>
      </c>
      <c r="H11" s="954">
        <v>4505138.589094514</v>
      </c>
      <c r="I11" s="724">
        <f>H11/H$24*100</f>
        <v>0.2153991318302679</v>
      </c>
      <c r="J11" s="794">
        <f>H11-F11</f>
        <v>0</v>
      </c>
      <c r="K11" s="954">
        <v>4786954.623376444</v>
      </c>
      <c r="L11" s="724">
        <f>K11/K$24*100</f>
        <v>0.21817680802357298</v>
      </c>
      <c r="M11" s="794">
        <f>K11-H11</f>
        <v>281816.03428192995</v>
      </c>
      <c r="N11" s="792">
        <f>MC11</f>
        <v>4749598.8</v>
      </c>
      <c r="O11" s="724">
        <f>N11/N$24*100</f>
        <v>0.21622860033906352</v>
      </c>
      <c r="P11" s="794">
        <f>N11-K11</f>
        <v>-37355.823376444168</v>
      </c>
      <c r="Q11" s="792">
        <f>N11-F11</f>
        <v>244460.21090548579</v>
      </c>
      <c r="R11" s="723">
        <f>O11/G11-1</f>
        <v>-1.4077749403595963E-3</v>
      </c>
      <c r="V11" s="252">
        <f>V10+1</f>
        <v>4</v>
      </c>
      <c r="W11" s="806" t="s">
        <v>179</v>
      </c>
      <c r="X11" s="800">
        <f>X10/$H$24*100</f>
        <v>-0.12223564297640627</v>
      </c>
      <c r="Y11" s="800">
        <f>Y10/$H$24*100</f>
        <v>5.5966983609485974E-2</v>
      </c>
      <c r="Z11" s="800">
        <f>Z10/$H$24*100</f>
        <v>0.3086358219179598</v>
      </c>
      <c r="AA11" s="800">
        <f>AA10/$H$24*100</f>
        <v>0.24236716255103952</v>
      </c>
      <c r="AB11" s="227"/>
      <c r="AC11" s="233"/>
      <c r="AF11" s="165">
        <f>AF10+1</f>
        <v>5</v>
      </c>
      <c r="AG11" s="812" t="s">
        <v>77</v>
      </c>
      <c r="AH11" s="813">
        <f>CT9</f>
        <v>1762701.0470566959</v>
      </c>
      <c r="AI11" s="813">
        <f>DE9</f>
        <v>86370.623008658004</v>
      </c>
      <c r="AJ11" s="682">
        <f>DO9</f>
        <v>570064.6364464286</v>
      </c>
      <c r="AN11" s="293">
        <v>6</v>
      </c>
      <c r="AO11" s="294"/>
      <c r="AP11" s="294"/>
      <c r="AQ11" s="833" t="s">
        <v>201</v>
      </c>
      <c r="AR11" s="834"/>
      <c r="AS11" s="835">
        <v>41149542.24840001</v>
      </c>
      <c r="AT11" s="836">
        <v>4.0127088112831091</v>
      </c>
      <c r="AU11" s="837"/>
      <c r="AV11" s="835">
        <v>43536109.595200002</v>
      </c>
      <c r="AW11" s="836">
        <v>4.0341900871360252</v>
      </c>
      <c r="AX11" s="838">
        <f>AW11/AT11-1</f>
        <v>5.3533104102929663E-3</v>
      </c>
      <c r="AY11" s="837"/>
      <c r="AZ11" s="835">
        <v>52475468.259999998</v>
      </c>
      <c r="BA11" s="836">
        <v>4.067434394135975</v>
      </c>
      <c r="BB11" s="838">
        <f>BA11/AW11-1</f>
        <v>8.2406397026151268E-3</v>
      </c>
      <c r="BC11" s="837"/>
      <c r="BD11" s="835">
        <v>60296489.323600002</v>
      </c>
      <c r="BE11" s="836">
        <v>4.1000982394224748</v>
      </c>
      <c r="BF11" s="838">
        <f>BE11/BA11-1</f>
        <v>8.0305770471900129E-3</v>
      </c>
      <c r="BG11" s="837"/>
      <c r="BH11" s="835">
        <v>61146922.538433343</v>
      </c>
      <c r="BI11" s="836">
        <v>4.0237731131168939</v>
      </c>
      <c r="BJ11" s="838">
        <f>BI11/BE11-1</f>
        <v>-1.8615438423331909E-2</v>
      </c>
      <c r="BK11" s="837"/>
      <c r="BL11" s="835">
        <v>67411697.978699997</v>
      </c>
      <c r="BM11" s="836">
        <v>4.0075180177968992</v>
      </c>
      <c r="BN11" s="838">
        <f>BM11/BI11-1</f>
        <v>-4.0397643860697885E-3</v>
      </c>
      <c r="BO11" s="837"/>
      <c r="BP11" s="835">
        <v>82733345.540000066</v>
      </c>
      <c r="BQ11" s="836">
        <v>4.4605216108185832</v>
      </c>
      <c r="BR11" s="838">
        <f>BQ11/BM11-1</f>
        <v>0.11303844200074709</v>
      </c>
      <c r="BS11" s="837"/>
      <c r="BT11" s="839">
        <v>96023263.244399965</v>
      </c>
      <c r="BU11" s="839">
        <v>4.8940141407676769</v>
      </c>
      <c r="BV11" s="839">
        <f>BU11/BQ11-1</f>
        <v>9.7184268516421479E-2</v>
      </c>
      <c r="BW11" s="295">
        <v>108271476.32980001</v>
      </c>
      <c r="BX11" s="296">
        <v>5.5933628300959608</v>
      </c>
      <c r="BY11" s="840">
        <f>BX11/BU11-1</f>
        <v>0.14289878803222744</v>
      </c>
      <c r="BZ11" s="840">
        <v>110405938.53159995</v>
      </c>
      <c r="CA11" s="840">
        <v>5.4123287588874414</v>
      </c>
      <c r="CB11" s="840">
        <f>CA11/BX11-1</f>
        <v>-3.2365873036956816E-2</v>
      </c>
      <c r="CC11" s="957">
        <v>104395539.42615813</v>
      </c>
      <c r="CD11" s="957">
        <v>5.0229071493781339</v>
      </c>
      <c r="CE11" s="723">
        <f>CD11/CA11-1</f>
        <v>-7.1950841653853459E-2</v>
      </c>
      <c r="CF11" s="841">
        <f>F12</f>
        <v>111375540.52939449</v>
      </c>
      <c r="CG11" s="840">
        <f>G12</f>
        <v>5.3531156494630183</v>
      </c>
      <c r="CH11" s="723">
        <f>CG11/CD11-1</f>
        <v>6.574051445999074E-2</v>
      </c>
      <c r="CI11" s="842">
        <f>CF11/AS11-1</f>
        <v>1.7066046046654391</v>
      </c>
      <c r="CJ11" s="723">
        <f>(CI11+1)^(1/(2022-2004))-1</f>
        <v>5.6874941511309673E-2</v>
      </c>
      <c r="CY11" s="20"/>
      <c r="DD11" s="12"/>
      <c r="DI11" s="20"/>
      <c r="DN11" s="12"/>
      <c r="DT11" s="297">
        <v>6</v>
      </c>
      <c r="DU11" s="875" t="s">
        <v>202</v>
      </c>
      <c r="DV11" s="727"/>
      <c r="DW11" s="727"/>
      <c r="DX11" s="727"/>
      <c r="DY11" s="727"/>
      <c r="DZ11" s="967">
        <v>1329901.5614670862</v>
      </c>
      <c r="EA11" s="968">
        <v>2463632.9117169301</v>
      </c>
      <c r="EB11" s="968">
        <v>3594215.4151920588</v>
      </c>
      <c r="EC11" s="968">
        <v>7387749.8883760758</v>
      </c>
      <c r="EQ11" s="16"/>
      <c r="ER11" s="266"/>
      <c r="FG11" s="16"/>
      <c r="FH11" s="266"/>
      <c r="FJ11" s="222">
        <f>FJ10+1</f>
        <v>6</v>
      </c>
      <c r="FK11" s="242"/>
      <c r="FL11" s="877" t="s">
        <v>203</v>
      </c>
      <c r="FM11" s="650">
        <v>49260.639999999992</v>
      </c>
      <c r="FN11" s="650">
        <v>32406.18</v>
      </c>
      <c r="FO11" s="650">
        <v>47183.22</v>
      </c>
      <c r="FP11" s="794">
        <f>FM11+FO11+FN11</f>
        <v>128850.03999999998</v>
      </c>
      <c r="FQ11" s="650">
        <v>49260.639999999992</v>
      </c>
      <c r="FR11" s="650">
        <v>32406.18</v>
      </c>
      <c r="FS11" s="650">
        <v>47183.22</v>
      </c>
      <c r="FT11" s="650">
        <v>128850.03999999998</v>
      </c>
      <c r="FU11" s="955">
        <v>128850.03999999998</v>
      </c>
      <c r="FV11" s="16"/>
      <c r="FW11" s="203"/>
      <c r="FY11" s="222">
        <v>6</v>
      </c>
      <c r="FZ11" s="969" t="s">
        <v>204</v>
      </c>
      <c r="GA11" s="650">
        <v>69215.070000000007</v>
      </c>
      <c r="GB11" s="650">
        <v>311010.10159999999</v>
      </c>
      <c r="GC11" s="650">
        <v>175816.9</v>
      </c>
      <c r="GD11" s="794">
        <f>SUM(GA11:GC11)</f>
        <v>556042.07160000002</v>
      </c>
      <c r="GE11" s="650">
        <v>36325.46</v>
      </c>
      <c r="GF11" s="650">
        <v>74259.621599999984</v>
      </c>
      <c r="GG11" s="650">
        <v>30632.449999999986</v>
      </c>
      <c r="GH11" s="650">
        <f>SUM(GE11:GG11)</f>
        <v>141217.53159999996</v>
      </c>
      <c r="GI11" s="202"/>
      <c r="GJ11" s="203"/>
      <c r="GZ11" s="222">
        <v>6</v>
      </c>
      <c r="HA11" s="663">
        <v>6</v>
      </c>
      <c r="HB11" s="663">
        <v>10</v>
      </c>
      <c r="HC11" s="663">
        <v>10</v>
      </c>
      <c r="HD11" s="682">
        <v>31932119.545454547</v>
      </c>
      <c r="HE11" s="682">
        <v>32250691</v>
      </c>
      <c r="HF11" s="724">
        <f>HC11/HB11</f>
        <v>1</v>
      </c>
      <c r="HG11" s="724">
        <f>HE11/HD11</f>
        <v>1.0099765207909852</v>
      </c>
      <c r="HH11" s="723">
        <v>1</v>
      </c>
      <c r="HI11" s="723">
        <v>0</v>
      </c>
      <c r="HJ11" s="723">
        <v>0</v>
      </c>
      <c r="HN11" s="243">
        <v>6</v>
      </c>
      <c r="HO11" s="891">
        <v>6</v>
      </c>
      <c r="HP11" s="793">
        <f>HG11</f>
        <v>1.0099765207909852</v>
      </c>
      <c r="HQ11" s="650">
        <v>0</v>
      </c>
      <c r="HR11" s="794">
        <f>HP11*HQ11</f>
        <v>0</v>
      </c>
      <c r="HS11" s="650">
        <v>3465446.1818181816</v>
      </c>
      <c r="HT11" s="975">
        <v>3489174</v>
      </c>
      <c r="HU11" s="650">
        <v>1496716.5628727272</v>
      </c>
      <c r="HV11" s="975">
        <v>1721487</v>
      </c>
      <c r="HW11" s="650">
        <v>225000</v>
      </c>
      <c r="HX11" s="955">
        <v>225000</v>
      </c>
      <c r="HY11" s="650">
        <f>SUM(HQ11,HU11,HW11)</f>
        <v>1721716.5628727272</v>
      </c>
      <c r="HZ11" s="650">
        <f>SUM(HR11,HV11,HX11)</f>
        <v>1946487</v>
      </c>
      <c r="IA11" s="206"/>
      <c r="IB11" s="207"/>
      <c r="IC11" s="206"/>
      <c r="ID11" s="244">
        <v>6</v>
      </c>
      <c r="IE11" s="891">
        <v>6</v>
      </c>
      <c r="IF11" s="899">
        <f>HF11</f>
        <v>1</v>
      </c>
      <c r="IG11" s="900">
        <f>HG11</f>
        <v>1.0099765207909852</v>
      </c>
      <c r="IH11" s="955">
        <v>643151.33366376476</v>
      </c>
      <c r="II11" s="794">
        <f>IH11*$IG11</f>
        <v>649567.74631581118</v>
      </c>
      <c r="IJ11" s="955">
        <v>48283.804000000004</v>
      </c>
      <c r="IK11" s="794">
        <f>IJ11*$IG11</f>
        <v>48765.508374473859</v>
      </c>
      <c r="IL11" s="955">
        <v>378134.38324532611</v>
      </c>
      <c r="IM11" s="794">
        <f>IL11*IF11</f>
        <v>378134.38324532611</v>
      </c>
      <c r="IN11" s="955">
        <v>592148.52086575574</v>
      </c>
      <c r="IO11" s="995">
        <v>592148.52086575574</v>
      </c>
      <c r="IP11" s="955">
        <v>65904.153500000029</v>
      </c>
      <c r="IQ11" s="794">
        <f>IP11*$IG11</f>
        <v>66561.647657605063</v>
      </c>
      <c r="IR11" s="955">
        <v>59879.82918181819</v>
      </c>
      <c r="IS11" s="794">
        <f>IR11*$IG11</f>
        <v>60477.221542611245</v>
      </c>
      <c r="IT11" s="955">
        <v>35609.333636363634</v>
      </c>
      <c r="IU11" s="794">
        <f>IT11*$IG11</f>
        <v>35964.590893739944</v>
      </c>
      <c r="IV11" s="955">
        <v>189514.22679545454</v>
      </c>
      <c r="IW11" s="794">
        <f>IV11*$IG11</f>
        <v>191404.91941926687</v>
      </c>
      <c r="IX11" s="650">
        <f>IH11+IJ11+IL11+IN11+IP11+IT11+IV11+IR11</f>
        <v>2012625.5848884832</v>
      </c>
      <c r="IY11" s="650">
        <f>II11+IK11+IM11+IO11+IQ11+IU11+IW11+IS11</f>
        <v>2023024.5383145902</v>
      </c>
      <c r="IZ11" s="683">
        <f>IY11/HE11*100</f>
        <v>6.2728099013896799</v>
      </c>
      <c r="JD11" s="222">
        <v>6</v>
      </c>
      <c r="JE11" s="663">
        <v>6</v>
      </c>
      <c r="JF11" s="660">
        <f>HC11</f>
        <v>10</v>
      </c>
      <c r="JG11" s="660">
        <f>JF11</f>
        <v>10</v>
      </c>
      <c r="JH11" s="905">
        <f>HE11</f>
        <v>32250691</v>
      </c>
      <c r="JI11" s="905">
        <f>JH11*$JK$26</f>
        <v>32287326.55659448</v>
      </c>
      <c r="JJ11" s="906">
        <f>JG11/JF11</f>
        <v>1</v>
      </c>
      <c r="JK11" s="906">
        <f>JI11/JH11</f>
        <v>1.0011359619114666</v>
      </c>
      <c r="JL11" s="906">
        <f>LC12/LB12</f>
        <v>1.0446643068519468</v>
      </c>
      <c r="JM11" s="663" t="s">
        <v>425</v>
      </c>
      <c r="JN11" s="209"/>
      <c r="JO11" s="210"/>
      <c r="JP11" s="209"/>
      <c r="JQ11" s="222">
        <v>6</v>
      </c>
      <c r="JR11" s="663">
        <v>6</v>
      </c>
      <c r="JS11" s="914" t="str">
        <f>JM11</f>
        <v>Q2</v>
      </c>
      <c r="JT11" s="913">
        <f>JL11</f>
        <v>1.0446643068519468</v>
      </c>
      <c r="JU11" s="671">
        <f>HR11</f>
        <v>0</v>
      </c>
      <c r="JV11" s="671">
        <f>JU11*JL11</f>
        <v>0</v>
      </c>
      <c r="JW11" s="671">
        <f>HT11</f>
        <v>3489174</v>
      </c>
      <c r="JX11" s="671">
        <f>HE11/$HE$26*$JX$26</f>
        <v>3563139.0874589332</v>
      </c>
      <c r="JY11" s="671">
        <f>HV11</f>
        <v>1721487</v>
      </c>
      <c r="JZ11" s="671">
        <f>HE11/$HE$26*$JZ$26</f>
        <v>1599561.6349002281</v>
      </c>
      <c r="KA11" s="671">
        <f>HX11</f>
        <v>225000</v>
      </c>
      <c r="KB11" s="671">
        <f>HE11/$HE$26*$KB$26</f>
        <v>69814.434300227003</v>
      </c>
      <c r="KC11" s="671">
        <f>SUM(JU11,JY11,KA11)</f>
        <v>1946487</v>
      </c>
      <c r="KD11" s="671">
        <f>SUM(JV11,JZ11,KB11)</f>
        <v>1669376.0692004552</v>
      </c>
      <c r="KE11" s="211"/>
      <c r="KF11" s="210"/>
      <c r="KG11" s="209"/>
      <c r="KH11" s="245">
        <f>KH10+1</f>
        <v>6</v>
      </c>
      <c r="KI11" s="917">
        <v>5</v>
      </c>
      <c r="KJ11" s="918">
        <f>JJ10</f>
        <v>1</v>
      </c>
      <c r="KK11" s="918">
        <f>JK10</f>
        <v>1.0011359619114666</v>
      </c>
      <c r="KL11" s="898">
        <v>1.6546666699999999</v>
      </c>
      <c r="KM11" s="801">
        <f>II10*KM$6/KL11*JK10</f>
        <v>371475.05035610986</v>
      </c>
      <c r="KN11" s="898">
        <v>1.6546666699999999</v>
      </c>
      <c r="KO11" s="801">
        <f>IK10*KO$6/KN11*KK11</f>
        <v>28039.191100216376</v>
      </c>
      <c r="KP11" s="898">
        <v>1.6546666699999999</v>
      </c>
      <c r="KQ11" s="801">
        <f>IM10*KQ$6/KP11*KJ11</f>
        <v>450499.46725239768</v>
      </c>
      <c r="KR11" s="898">
        <v>1.6546666699999999</v>
      </c>
      <c r="KS11" s="801">
        <f>IO10*KS$6/KR11*KJ11</f>
        <v>427821.13104839704</v>
      </c>
      <c r="KT11" s="898">
        <v>1.6546666699999999</v>
      </c>
      <c r="KU11" s="801">
        <f>IQ10*KU$6/KT11*KK11</f>
        <v>95401.82985970196</v>
      </c>
      <c r="KV11" s="898">
        <v>1.6546666699999999</v>
      </c>
      <c r="KW11" s="801">
        <f>IS10*KW$6/KV11*KK11</f>
        <v>56068.003321135962</v>
      </c>
      <c r="KX11" s="898">
        <v>1.6546666699999999</v>
      </c>
      <c r="KY11" s="801">
        <f>IU10*KY$6/KX11*$KK11</f>
        <v>39650.049647075917</v>
      </c>
      <c r="KZ11" s="898">
        <v>1.6546666699999999</v>
      </c>
      <c r="LA11" s="919">
        <f>IW10*LA$6/KZ11*$KK11</f>
        <v>229354.49837253056</v>
      </c>
      <c r="LB11" s="646">
        <f>IY10</f>
        <v>1639641.2309258883</v>
      </c>
      <c r="LC11" s="646">
        <f>KM11+KO11+KQ11+KS11+KU11+KY11+LA11+KW11</f>
        <v>1698309.2209575651</v>
      </c>
      <c r="LD11" s="16"/>
      <c r="LE11" s="220"/>
      <c r="LG11" s="222">
        <v>6</v>
      </c>
      <c r="LH11" s="922">
        <v>6</v>
      </c>
      <c r="LI11" s="650">
        <f>HY11</f>
        <v>1721716.5628727272</v>
      </c>
      <c r="LJ11" s="650">
        <f>HZ11</f>
        <v>1946487</v>
      </c>
      <c r="LK11" s="794">
        <f>KD11</f>
        <v>1669376.0692004552</v>
      </c>
      <c r="LL11" s="650">
        <f>IX11</f>
        <v>2012625.5848884832</v>
      </c>
      <c r="LM11" s="650">
        <f>IY11</f>
        <v>2023024.5383145902</v>
      </c>
      <c r="LN11" s="794">
        <f>LC12</f>
        <v>2113381.5270628911</v>
      </c>
      <c r="LO11" s="650">
        <f>LI11-LL11</f>
        <v>-290909.022015756</v>
      </c>
      <c r="LP11" s="650">
        <f>LJ11-LM11</f>
        <v>-76537.538314590231</v>
      </c>
      <c r="LQ11" s="650">
        <f>LK11-LN11</f>
        <v>-444005.45786243584</v>
      </c>
      <c r="LU11" s="222">
        <f>LU10+1</f>
        <v>6</v>
      </c>
      <c r="LV11" s="812" t="s">
        <v>205</v>
      </c>
      <c r="LW11" s="925">
        <v>5.3900000000000003E-2</v>
      </c>
      <c r="MA11" s="192">
        <f>MA10+1</f>
        <v>5</v>
      </c>
      <c r="MB11" s="814" t="s">
        <v>44</v>
      </c>
      <c r="MC11" s="860">
        <f>'DCA 3 month Phase II'!II4*'DCA 3 month Phase II'!IH4</f>
        <v>4749598.8</v>
      </c>
      <c r="MD11" s="928">
        <f>MC11/$MC$34*100</f>
        <v>0.21622860033906352</v>
      </c>
      <c r="ME11" s="796"/>
      <c r="MF11" s="798">
        <f>MC11</f>
        <v>4749598.8</v>
      </c>
      <c r="MG11" s="928">
        <f>MF11/$MG$34*100</f>
        <v>0.21622860033906352</v>
      </c>
      <c r="MK11" s="192">
        <f>MK10+1</f>
        <v>5</v>
      </c>
      <c r="ML11" s="814" t="str">
        <f>MB11</f>
        <v>Depot Viability Handling Commissions</v>
      </c>
      <c r="MM11" s="979">
        <v>4758928.0499999989</v>
      </c>
      <c r="MN11" s="860">
        <f>MF11</f>
        <v>4749598.8</v>
      </c>
      <c r="MO11" s="860">
        <f>MN11-MM11</f>
        <v>-9329.2499999990687</v>
      </c>
      <c r="MP11" s="802">
        <f>MO11/MM11</f>
        <v>-1.9603679446254857E-3</v>
      </c>
    </row>
    <row r="12" spans="1:405" s="29" customFormat="1" ht="17.100000000000001" customHeight="1" thickBot="1" x14ac:dyDescent="0.35">
      <c r="B12" s="181">
        <f>B11+1</f>
        <v>7</v>
      </c>
      <c r="C12" s="803" t="s">
        <v>206</v>
      </c>
      <c r="D12" s="804"/>
      <c r="E12" s="797"/>
      <c r="F12" s="798">
        <f>F9+F10+F11</f>
        <v>111375540.52939449</v>
      </c>
      <c r="G12" s="799">
        <f>F12/F$24*100</f>
        <v>5.3531156494630183</v>
      </c>
      <c r="H12" s="798">
        <f>H9+H10+H11</f>
        <v>106354818.26747276</v>
      </c>
      <c r="I12" s="800">
        <f>H12/H$24*100</f>
        <v>5.0850234832362764</v>
      </c>
      <c r="J12" s="801">
        <f>H12-F12</f>
        <v>-5020722.2619217336</v>
      </c>
      <c r="K12" s="798">
        <f>K9+K10+K11</f>
        <v>129005962.21597157</v>
      </c>
      <c r="L12" s="800">
        <f>K12/K$24*100</f>
        <v>5.8797526333010612</v>
      </c>
      <c r="M12" s="801">
        <f>K12-H12</f>
        <v>22651143.948498815</v>
      </c>
      <c r="N12" s="798">
        <f>N9+N10+N11</f>
        <v>113906216.11170277</v>
      </c>
      <c r="O12" s="800">
        <f>N12/N$24*100</f>
        <v>5.1856551925506587</v>
      </c>
      <c r="P12" s="801">
        <f>N12-K12</f>
        <v>-15099746.104268804</v>
      </c>
      <c r="Q12" s="798">
        <f>N12-F12</f>
        <v>2530675.5823082775</v>
      </c>
      <c r="R12" s="802">
        <f>O12/G12-1</f>
        <v>-3.1282801993855247E-2</v>
      </c>
      <c r="S12" s="12"/>
      <c r="T12" s="13"/>
      <c r="U12" s="12"/>
      <c r="V12" s="165">
        <f>V11+1</f>
        <v>5</v>
      </c>
      <c r="W12" s="808" t="s">
        <v>132</v>
      </c>
      <c r="X12" s="650">
        <f>X10-X7</f>
        <v>-2643133.7078647274</v>
      </c>
      <c r="Y12" s="650">
        <f>Y10-Y7</f>
        <v>-2061160.729802558</v>
      </c>
      <c r="Z12" s="650">
        <f>Z10-Z7</f>
        <v>2614500.5078417864</v>
      </c>
      <c r="AA12" s="650">
        <f>AA10-AA7</f>
        <v>-2089793.9298254987</v>
      </c>
      <c r="AB12" s="230"/>
      <c r="AC12" s="234"/>
      <c r="AD12" s="13"/>
      <c r="AE12" s="12"/>
      <c r="AF12" s="252">
        <f>AF11+1</f>
        <v>6</v>
      </c>
      <c r="AG12" s="814" t="s">
        <v>180</v>
      </c>
      <c r="AH12" s="815">
        <f>AH11*3600/$H$24</f>
        <v>3.0340096397324476</v>
      </c>
      <c r="AI12" s="815">
        <f>AI11*3600/$H$24</f>
        <v>0.14866349755423783</v>
      </c>
      <c r="AJ12" s="815">
        <f>AJ11*3600/$H$24</f>
        <v>0.98121096889176984</v>
      </c>
      <c r="AK12" s="12"/>
      <c r="AL12" s="299"/>
      <c r="AM12" s="12"/>
      <c r="AN12" s="192">
        <v>7</v>
      </c>
      <c r="AO12" s="193"/>
      <c r="AP12" s="191" t="s">
        <v>207</v>
      </c>
      <c r="AQ12" s="7"/>
      <c r="AR12" s="195"/>
      <c r="AS12" s="255"/>
      <c r="AT12" s="256"/>
      <c r="AU12" s="257"/>
      <c r="AV12" s="255"/>
      <c r="AW12" s="256"/>
      <c r="AX12" s="250"/>
      <c r="AY12" s="257"/>
      <c r="AZ12" s="255"/>
      <c r="BA12" s="300"/>
      <c r="BB12" s="250"/>
      <c r="BC12" s="257"/>
      <c r="BD12" s="255"/>
      <c r="BE12" s="300"/>
      <c r="BF12" s="250"/>
      <c r="BG12" s="257"/>
      <c r="BH12" s="255"/>
      <c r="BI12" s="300"/>
      <c r="BJ12" s="250"/>
      <c r="BK12" s="257"/>
      <c r="BL12" s="255"/>
      <c r="BM12" s="300"/>
      <c r="BN12" s="250"/>
      <c r="BO12" s="257"/>
      <c r="BP12" s="255"/>
      <c r="BQ12" s="300"/>
      <c r="BR12" s="250"/>
      <c r="BS12" s="257"/>
      <c r="BW12" s="258"/>
      <c r="BX12" s="259"/>
      <c r="BY12" s="260"/>
      <c r="BZ12" s="260"/>
      <c r="CA12" s="260"/>
      <c r="CB12" s="260"/>
      <c r="CC12" s="958"/>
      <c r="CD12" s="958"/>
      <c r="CE12" s="301"/>
      <c r="CF12" s="247"/>
      <c r="CG12" s="260"/>
      <c r="CH12" s="301"/>
      <c r="CI12" s="262"/>
      <c r="CJ12" s="301"/>
      <c r="CK12" s="12"/>
      <c r="CL12" s="13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232"/>
      <c r="CY12" s="20"/>
      <c r="CZ12" s="12"/>
      <c r="DA12" s="12"/>
      <c r="DB12" s="12"/>
      <c r="DC12" s="12"/>
      <c r="DD12" s="12"/>
      <c r="DE12" s="12"/>
      <c r="DF12" s="12"/>
      <c r="DG12" s="12"/>
      <c r="DH12" s="12"/>
      <c r="DI12" s="20"/>
      <c r="DJ12" s="12"/>
      <c r="DK12" s="12"/>
      <c r="DL12" s="12"/>
      <c r="DM12" s="12"/>
      <c r="DN12" s="12"/>
      <c r="DO12" s="12"/>
      <c r="DP12" s="12"/>
      <c r="DQ12" s="12"/>
      <c r="DR12" s="13"/>
      <c r="DS12" s="12"/>
      <c r="DT12" s="302">
        <v>7</v>
      </c>
      <c r="DU12" s="303" t="s">
        <v>71</v>
      </c>
      <c r="DV12" s="304">
        <f>SUM(DV7:DV11)</f>
        <v>3987595.5110999998</v>
      </c>
      <c r="DW12" s="304">
        <f>SUM(DW7:DW11)</f>
        <v>7161030.7631999999</v>
      </c>
      <c r="DX12" s="304">
        <f>SUM(DX7:DX11)</f>
        <v>14640317.082199998</v>
      </c>
      <c r="DY12" s="305">
        <f>SUM(DY7:DY11)</f>
        <v>25788943.3565</v>
      </c>
      <c r="DZ12" s="304">
        <f>SUM(DZ7:DZ11)</f>
        <v>4518233.5472997567</v>
      </c>
      <c r="EA12" s="304">
        <f>SUM(EA7:EA11)</f>
        <v>7797060.9032192249</v>
      </c>
      <c r="EB12" s="304">
        <f>SUM(EB7:EB11)</f>
        <v>10788534.636658216</v>
      </c>
      <c r="EC12" s="304">
        <f>SUM(EC7:EC11)</f>
        <v>23103829.087177198</v>
      </c>
      <c r="ED12" s="12"/>
      <c r="EE12" s="13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6"/>
      <c r="ER12" s="266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6"/>
      <c r="FH12" s="266"/>
      <c r="FI12" s="12"/>
      <c r="FJ12" s="192">
        <f>FJ11+1</f>
        <v>7</v>
      </c>
      <c r="FK12" s="265"/>
      <c r="FL12" s="878" t="s">
        <v>208</v>
      </c>
      <c r="FM12" s="860">
        <v>156010.497</v>
      </c>
      <c r="FN12" s="860">
        <v>388247.39</v>
      </c>
      <c r="FO12" s="860">
        <v>395682.24947999994</v>
      </c>
      <c r="FP12" s="801">
        <f>FM12+FO12+FN12</f>
        <v>939940.13647999999</v>
      </c>
      <c r="FQ12" s="860">
        <v>156830.33790909091</v>
      </c>
      <c r="FR12" s="860">
        <v>388247.39</v>
      </c>
      <c r="FS12" s="860">
        <v>400882.74947999994</v>
      </c>
      <c r="FT12" s="860">
        <v>945960.47738909081</v>
      </c>
      <c r="FU12" s="955">
        <v>945960.47738909081</v>
      </c>
      <c r="FV12" s="16"/>
      <c r="FW12" s="266"/>
      <c r="FX12" s="12"/>
      <c r="FY12" s="302">
        <v>7</v>
      </c>
      <c r="FZ12" s="306" t="s">
        <v>88</v>
      </c>
      <c r="GA12" s="304">
        <f>SUM(GA6:GA11)</f>
        <v>203809.78099999999</v>
      </c>
      <c r="GB12" s="304">
        <f>SUM(GB6:GB11)</f>
        <v>466245.03159999999</v>
      </c>
      <c r="GC12" s="304">
        <f>SUM(GC6:GC11)</f>
        <v>446450.19000000006</v>
      </c>
      <c r="GD12" s="305">
        <f>SUM(GD6:GD11)</f>
        <v>1116505.0026</v>
      </c>
      <c r="GE12" s="304">
        <f>SUM(GE6:GE11)</f>
        <v>39789.800999999999</v>
      </c>
      <c r="GF12" s="304">
        <f>SUM(GF6:GF11)</f>
        <v>148024.76159999997</v>
      </c>
      <c r="GG12" s="304">
        <f>SUM(GG6:GG11)</f>
        <v>126816.28999999998</v>
      </c>
      <c r="GH12" s="305">
        <f>SUM(GH6:GH11)</f>
        <v>314630.85259999998</v>
      </c>
      <c r="GI12" s="16"/>
      <c r="GJ12" s="203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3"/>
      <c r="GX12" s="12"/>
      <c r="GY12" s="12"/>
      <c r="GZ12" s="192">
        <v>7</v>
      </c>
      <c r="HA12" s="886">
        <v>7</v>
      </c>
      <c r="HB12" s="886">
        <v>10</v>
      </c>
      <c r="HC12" s="886">
        <v>12</v>
      </c>
      <c r="HD12" s="887">
        <v>38020664</v>
      </c>
      <c r="HE12" s="887">
        <v>45023413</v>
      </c>
      <c r="HF12" s="800">
        <f>HC12/HB12</f>
        <v>1.2</v>
      </c>
      <c r="HG12" s="800">
        <f>HE12/HD12</f>
        <v>1.1841827118011405</v>
      </c>
      <c r="HH12" s="802">
        <v>1</v>
      </c>
      <c r="HI12" s="802">
        <v>0</v>
      </c>
      <c r="HJ12" s="802">
        <v>0</v>
      </c>
      <c r="HK12" s="12"/>
      <c r="HL12" s="13"/>
      <c r="HM12" s="12"/>
      <c r="HN12" s="267">
        <v>7</v>
      </c>
      <c r="HO12" s="892">
        <v>7</v>
      </c>
      <c r="HP12" s="799">
        <f>HG12</f>
        <v>1.1841827118011405</v>
      </c>
      <c r="HQ12" s="860">
        <v>2625.0909999999994</v>
      </c>
      <c r="HR12" s="801">
        <f>HP12*HQ12</f>
        <v>3108.587379104767</v>
      </c>
      <c r="HS12" s="860">
        <v>4131025</v>
      </c>
      <c r="HT12" s="975">
        <v>4886341</v>
      </c>
      <c r="HU12" s="860">
        <v>1932272.8392</v>
      </c>
      <c r="HV12" s="975">
        <v>2550044</v>
      </c>
      <c r="HW12" s="860">
        <v>225000</v>
      </c>
      <c r="HX12" s="955">
        <v>270000</v>
      </c>
      <c r="HY12" s="860">
        <f>SUM(HQ12,HU12,HW12)</f>
        <v>2159897.9302000003</v>
      </c>
      <c r="HZ12" s="860">
        <f>SUM(HR12,HV12,HX12)</f>
        <v>2823152.5873791049</v>
      </c>
      <c r="IA12" s="206"/>
      <c r="IB12" s="207"/>
      <c r="IC12" s="206"/>
      <c r="ID12" s="208">
        <v>7</v>
      </c>
      <c r="IE12" s="892">
        <v>7</v>
      </c>
      <c r="IF12" s="896">
        <f>HF12</f>
        <v>1.2</v>
      </c>
      <c r="IG12" s="897">
        <f>HG12</f>
        <v>1.1841827118011405</v>
      </c>
      <c r="IH12" s="955">
        <v>713038.95958031644</v>
      </c>
      <c r="II12" s="801">
        <f>IH12*$IG12</f>
        <v>844368.40877568291</v>
      </c>
      <c r="IJ12" s="955">
        <v>87337.3</v>
      </c>
      <c r="IK12" s="801">
        <f>IJ12*$IG12</f>
        <v>103423.32075538975</v>
      </c>
      <c r="IL12" s="955">
        <v>425618.89441968338</v>
      </c>
      <c r="IM12" s="801">
        <f>IL12*IF12</f>
        <v>510742.67330362002</v>
      </c>
      <c r="IN12" s="955">
        <v>522406.19132917118</v>
      </c>
      <c r="IO12" s="995">
        <v>674140.55331500247</v>
      </c>
      <c r="IP12" s="955">
        <v>178194.31999999995</v>
      </c>
      <c r="IQ12" s="801">
        <f>IP12*$IG12</f>
        <v>211014.63308516017</v>
      </c>
      <c r="IR12" s="955">
        <v>66471.787500000006</v>
      </c>
      <c r="IS12" s="801">
        <f>IR12*$IG12</f>
        <v>78714.741580019167</v>
      </c>
      <c r="IT12" s="955">
        <v>59926.53</v>
      </c>
      <c r="IU12" s="801">
        <f>IT12*$IG12</f>
        <v>70963.960804232396</v>
      </c>
      <c r="IV12" s="955">
        <v>219294.0816</v>
      </c>
      <c r="IW12" s="801">
        <f>IV12*$IG12</f>
        <v>259684.2602310286</v>
      </c>
      <c r="IX12" s="860">
        <f>IH12+IJ12+IL12+IN12+IP12+IT12+IV12+IR12</f>
        <v>2272288.0644291709</v>
      </c>
      <c r="IY12" s="860">
        <f>II12+IK12+IM12+IO12+IQ12+IU12+IW12+IS12</f>
        <v>2753052.5518501359</v>
      </c>
      <c r="IZ12" s="898">
        <f>IY12/HE12*100</f>
        <v>6.1147131423602552</v>
      </c>
      <c r="JA12" s="12"/>
      <c r="JB12" s="13"/>
      <c r="JC12" s="12"/>
      <c r="JD12" s="192">
        <v>7</v>
      </c>
      <c r="JE12" s="886">
        <v>7</v>
      </c>
      <c r="JF12" s="796">
        <f>HC12</f>
        <v>12</v>
      </c>
      <c r="JG12" s="796">
        <f>JF12</f>
        <v>12</v>
      </c>
      <c r="JH12" s="859">
        <f>HE12</f>
        <v>45023413</v>
      </c>
      <c r="JI12" s="859">
        <f>JH12*$JK$26</f>
        <v>45074557.882292226</v>
      </c>
      <c r="JJ12" s="904">
        <f>JG12/JF12</f>
        <v>1</v>
      </c>
      <c r="JK12" s="904">
        <f>JI12/JH12</f>
        <v>1.0011359619114666</v>
      </c>
      <c r="JL12" s="904">
        <f>LC13/LB13</f>
        <v>1.0308991787865689</v>
      </c>
      <c r="JM12" s="886" t="s">
        <v>238</v>
      </c>
      <c r="JN12" s="209"/>
      <c r="JO12" s="210"/>
      <c r="JP12" s="209"/>
      <c r="JQ12" s="192">
        <v>7</v>
      </c>
      <c r="JR12" s="886">
        <v>7</v>
      </c>
      <c r="JS12" s="910" t="str">
        <f>JM12</f>
        <v>Q3</v>
      </c>
      <c r="JT12" s="911">
        <f>JL12</f>
        <v>1.0308991787865689</v>
      </c>
      <c r="JU12" s="860">
        <f>HR12</f>
        <v>3108.587379104767</v>
      </c>
      <c r="JV12" s="860">
        <f>JU12*JL12</f>
        <v>3204.6401763053968</v>
      </c>
      <c r="JW12" s="860">
        <f>HT12</f>
        <v>4886341</v>
      </c>
      <c r="JX12" s="860">
        <f>HE12/$HE$26*$JX$26</f>
        <v>4974302.1850634664</v>
      </c>
      <c r="JY12" s="860">
        <f>HV12</f>
        <v>2550044</v>
      </c>
      <c r="JZ12" s="860">
        <f>HE12/$HE$26*$JZ$26</f>
        <v>2233059.8779129474</v>
      </c>
      <c r="KA12" s="860">
        <f>HX12</f>
        <v>270000</v>
      </c>
      <c r="KB12" s="860">
        <f>HE12/$HE$26*$KB$26</f>
        <v>97464.085617901525</v>
      </c>
      <c r="KC12" s="860">
        <f>SUM(JU12,JY12,KA12)</f>
        <v>2823152.5873791049</v>
      </c>
      <c r="KD12" s="860">
        <f>SUM(JV12,JZ12,KB12)</f>
        <v>2333728.6037071543</v>
      </c>
      <c r="KE12" s="211"/>
      <c r="KF12" s="210"/>
      <c r="KG12" s="209"/>
      <c r="KH12" s="243">
        <f>KH11+1</f>
        <v>7</v>
      </c>
      <c r="KI12" s="891">
        <v>6</v>
      </c>
      <c r="KJ12" s="920">
        <f>JJ11</f>
        <v>1</v>
      </c>
      <c r="KK12" s="920">
        <f>JK11</f>
        <v>1.0011359619114666</v>
      </c>
      <c r="KL12" s="683">
        <v>1.6406666700000001</v>
      </c>
      <c r="KM12" s="794">
        <f>II11*KM$6/KL12*JK11</f>
        <v>678949.73189913144</v>
      </c>
      <c r="KN12" s="683">
        <v>1.6406666700000001</v>
      </c>
      <c r="KO12" s="794">
        <f>IK11*KO$6/KN12*KK12</f>
        <v>50971.325199814586</v>
      </c>
      <c r="KP12" s="683">
        <v>1.6406666700000001</v>
      </c>
      <c r="KQ12" s="794">
        <f>IM11*KQ$6/KP12*KJ12</f>
        <v>394790.12032423163</v>
      </c>
      <c r="KR12" s="683">
        <v>1.6406666700000001</v>
      </c>
      <c r="KS12" s="794">
        <f>IO11*KS$6/KR12*KJ12</f>
        <v>618230.96803852217</v>
      </c>
      <c r="KT12" s="683">
        <v>1.6406666700000001</v>
      </c>
      <c r="KU12" s="794">
        <f>IQ11*KU$6/KT12*KK12</f>
        <v>69572.439654236863</v>
      </c>
      <c r="KV12" s="683">
        <v>1.6406666700000001</v>
      </c>
      <c r="KW12" s="794">
        <f>IS11*KW$6/KV12*KK12</f>
        <v>63212.795871174589</v>
      </c>
      <c r="KX12" s="683">
        <v>1.6406666700000001</v>
      </c>
      <c r="KY12" s="794">
        <f>IU11*KY$6/KX12*$KK12</f>
        <v>37591.382090105966</v>
      </c>
      <c r="KZ12" s="683">
        <v>1.6406666700000001</v>
      </c>
      <c r="LA12" s="794">
        <f>IW11*LA$6/KZ12*$KK12</f>
        <v>200062.76398567372</v>
      </c>
      <c r="LB12" s="650">
        <f>IY11</f>
        <v>2023024.5383145902</v>
      </c>
      <c r="LC12" s="650">
        <f>KM12+KO12+KQ12+KS12+KU12+KY12+LA12+KW12</f>
        <v>2113381.5270628911</v>
      </c>
      <c r="LD12" s="16"/>
      <c r="LE12" s="220"/>
      <c r="LF12" s="12"/>
      <c r="LG12" s="192">
        <v>7</v>
      </c>
      <c r="LH12" s="921">
        <v>7</v>
      </c>
      <c r="LI12" s="860">
        <f>HY12</f>
        <v>2159897.9302000003</v>
      </c>
      <c r="LJ12" s="860">
        <f>HZ12</f>
        <v>2823152.5873791049</v>
      </c>
      <c r="LK12" s="801">
        <f>KD12</f>
        <v>2333728.6037071543</v>
      </c>
      <c r="LL12" s="860">
        <f>IX12</f>
        <v>2272288.0644291709</v>
      </c>
      <c r="LM12" s="860">
        <f>IY12</f>
        <v>2753052.5518501359</v>
      </c>
      <c r="LN12" s="801">
        <f>LC13</f>
        <v>2838119.6148585728</v>
      </c>
      <c r="LO12" s="860">
        <f>LI12-LL12</f>
        <v>-112390.13422917062</v>
      </c>
      <c r="LP12" s="860">
        <f>LJ12-LM12</f>
        <v>70100.03552896902</v>
      </c>
      <c r="LQ12" s="860">
        <f>LK12-LN12</f>
        <v>-504391.01115141856</v>
      </c>
      <c r="LR12" s="12"/>
      <c r="LS12" s="13"/>
      <c r="LT12" s="12"/>
      <c r="LU12" s="192">
        <f>LU11+1</f>
        <v>7</v>
      </c>
      <c r="LV12" s="926" t="s">
        <v>209</v>
      </c>
      <c r="LW12" s="924">
        <f>LW9/(1-LW11)</f>
        <v>372438436.2585336</v>
      </c>
      <c r="LX12" s="12"/>
      <c r="LY12" s="13"/>
      <c r="LZ12" s="12"/>
      <c r="MA12" s="222">
        <f>MA11+1</f>
        <v>6</v>
      </c>
      <c r="MB12" s="833" t="s">
        <v>206</v>
      </c>
      <c r="MC12" s="929">
        <f>N12</f>
        <v>113906216.11170277</v>
      </c>
      <c r="MD12" s="930">
        <f>MC12/$MC$34*100</f>
        <v>5.1856551925506587</v>
      </c>
      <c r="ME12" s="839"/>
      <c r="MF12" s="931">
        <f>MF9+MF10+MF11</f>
        <v>130031814.9966462</v>
      </c>
      <c r="MG12" s="930">
        <f>MF12/$MG$34*100</f>
        <v>5.9197836575739533</v>
      </c>
      <c r="MH12" s="12"/>
      <c r="MI12" s="13"/>
      <c r="MJ12" s="12"/>
      <c r="MK12" s="222">
        <f>MK11+1</f>
        <v>6</v>
      </c>
      <c r="ML12" s="833" t="str">
        <f>MB12</f>
        <v>Net Revenue</v>
      </c>
      <c r="MM12" s="980">
        <v>136637688.37609816</v>
      </c>
      <c r="MN12" s="929">
        <f>MC12</f>
        <v>113906216.11170277</v>
      </c>
      <c r="MO12" s="929">
        <f>MN12-MM12</f>
        <v>-22731472.264395386</v>
      </c>
      <c r="MP12" s="940">
        <f>MO12/MM12</f>
        <v>-0.16636312085305865</v>
      </c>
      <c r="MQ12" s="12"/>
      <c r="MR12" s="13"/>
      <c r="MS12" s="12"/>
    </row>
    <row r="13" spans="1:405" ht="16.5" x14ac:dyDescent="0.3">
      <c r="B13" s="143">
        <f>B12+1</f>
        <v>8</v>
      </c>
      <c r="C13" s="307" t="s">
        <v>207</v>
      </c>
      <c r="D13" s="5"/>
      <c r="E13" s="308"/>
      <c r="F13" s="225"/>
      <c r="G13" s="226"/>
      <c r="H13" s="225"/>
      <c r="I13" s="227"/>
      <c r="J13" s="228"/>
      <c r="K13" s="225"/>
      <c r="L13" s="227"/>
      <c r="M13" s="228"/>
      <c r="N13" s="225"/>
      <c r="O13" s="227"/>
      <c r="P13" s="228"/>
      <c r="Q13" s="225"/>
      <c r="R13" s="229"/>
      <c r="V13" s="185"/>
      <c r="W13" s="186" t="s">
        <v>25</v>
      </c>
      <c r="X13" s="269"/>
      <c r="Y13" s="270"/>
      <c r="Z13" s="270"/>
      <c r="AA13" s="270"/>
      <c r="AB13" s="189"/>
      <c r="AC13" s="236"/>
      <c r="AF13" s="271">
        <f>AF12+1</f>
        <v>7</v>
      </c>
      <c r="AG13" s="816" t="s">
        <v>187</v>
      </c>
      <c r="AH13" s="818">
        <f>IH26/AH11</f>
        <v>20.884539615581581</v>
      </c>
      <c r="AI13" s="818">
        <f>IJ26/AI11</f>
        <v>20.908056285798974</v>
      </c>
      <c r="AJ13" s="818">
        <f>IL26/AJ11</f>
        <v>31.509468342655907</v>
      </c>
      <c r="AL13" s="299"/>
      <c r="AN13" s="222">
        <v>8</v>
      </c>
      <c r="AO13" s="18"/>
      <c r="AQ13" s="660" t="s">
        <v>46</v>
      </c>
      <c r="AR13" s="791"/>
      <c r="AS13" s="821">
        <v>12784699.6164</v>
      </c>
      <c r="AT13" s="822">
        <v>1.2467034624748656</v>
      </c>
      <c r="AU13" s="783"/>
      <c r="AV13" s="821">
        <v>13940512.122199997</v>
      </c>
      <c r="AW13" s="822">
        <v>1.2917708159017343</v>
      </c>
      <c r="AX13" s="823">
        <f>AW13/AT13-1</f>
        <v>3.6149216540559026E-2</v>
      </c>
      <c r="AY13" s="783"/>
      <c r="AZ13" s="821">
        <v>16686157.735618668</v>
      </c>
      <c r="BA13" s="822">
        <v>1.2933634349589591</v>
      </c>
      <c r="BB13" s="823">
        <f>BA13/AW13-1</f>
        <v>1.2328959886844792E-3</v>
      </c>
      <c r="BC13" s="783"/>
      <c r="BD13" s="821">
        <v>19121063.134010617</v>
      </c>
      <c r="BE13" s="822">
        <v>1.3002123037527811</v>
      </c>
      <c r="BF13" s="823">
        <f>BE13/BA13-1</f>
        <v>5.2953938612307905E-3</v>
      </c>
      <c r="BG13" s="783"/>
      <c r="BH13" s="821">
        <v>21345531.913160004</v>
      </c>
      <c r="BI13" s="822">
        <v>1.4046426840756656</v>
      </c>
      <c r="BJ13" s="823">
        <f>BI13/BE13-1</f>
        <v>8.0317945016724401E-2</v>
      </c>
      <c r="BK13" s="783"/>
      <c r="BL13" s="821">
        <v>23918047.727200001</v>
      </c>
      <c r="BM13" s="822">
        <v>1.4218898216681388</v>
      </c>
      <c r="BN13" s="823">
        <f>BM13/BI13-1</f>
        <v>1.2278665448517856E-2</v>
      </c>
      <c r="BO13" s="783"/>
      <c r="BP13" s="821">
        <v>28535397.766300008</v>
      </c>
      <c r="BQ13" s="822">
        <v>1.5384698585450844</v>
      </c>
      <c r="BR13" s="823">
        <f>BQ13/BM13-1</f>
        <v>8.1989500944718685E-2</v>
      </c>
      <c r="BS13" s="783"/>
      <c r="BT13" s="660">
        <v>32304174</v>
      </c>
      <c r="BU13" s="660">
        <v>1.65</v>
      </c>
      <c r="BV13" s="660">
        <f>BU13/BQ13-1</f>
        <v>7.2494199893125222E-2</v>
      </c>
      <c r="BW13" s="237">
        <v>36103152.515199989</v>
      </c>
      <c r="BX13" s="238">
        <v>1.8651083200592218</v>
      </c>
      <c r="BY13" s="824">
        <f>BX13/BU13-1</f>
        <v>0.13036867882377079</v>
      </c>
      <c r="BZ13" s="824">
        <v>36687111.743471108</v>
      </c>
      <c r="CA13" s="824">
        <v>1.7984785294214409</v>
      </c>
      <c r="CB13" s="824">
        <f>CA13/BX13-1</f>
        <v>-3.5724354409434667E-2</v>
      </c>
      <c r="CC13" s="956">
        <v>37593268.407299995</v>
      </c>
      <c r="CD13" s="956">
        <v>1.8087697778034015</v>
      </c>
      <c r="CE13" s="723">
        <f>CD13/CA13-1</f>
        <v>5.722196964603965E-3</v>
      </c>
      <c r="CF13" s="792">
        <f>F14</f>
        <v>38001297.827399999</v>
      </c>
      <c r="CG13" s="824">
        <f>G14</f>
        <v>1.8264813004078884</v>
      </c>
      <c r="CH13" s="723">
        <f>CG13/CD13-1</f>
        <v>9.7920270571947299E-3</v>
      </c>
      <c r="CI13" s="825">
        <f>CF13/AS13-1</f>
        <v>1.9724044340199098</v>
      </c>
      <c r="CJ13" s="723">
        <f>(CI13+1)^(1/(2022-2004))-1</f>
        <v>6.2389506119690852E-2</v>
      </c>
      <c r="DD13" s="12"/>
      <c r="DN13" s="12"/>
      <c r="DU13" s="12"/>
      <c r="DV13" s="12"/>
      <c r="DW13" s="12"/>
      <c r="DX13" s="12"/>
      <c r="DY13" s="12"/>
      <c r="EE13" s="264"/>
      <c r="EQ13" s="16"/>
      <c r="ER13" s="266"/>
      <c r="FG13" s="16"/>
      <c r="FH13" s="266"/>
      <c r="FJ13" s="222">
        <f>FJ12+1</f>
        <v>8</v>
      </c>
      <c r="FK13" s="242"/>
      <c r="FL13" s="877" t="s">
        <v>210</v>
      </c>
      <c r="FM13" s="650">
        <v>287774.28249999997</v>
      </c>
      <c r="FN13" s="650">
        <v>432005.11000000004</v>
      </c>
      <c r="FO13" s="650">
        <v>632877.02193000005</v>
      </c>
      <c r="FP13" s="794">
        <f>FM13+FO13+FN13</f>
        <v>1352656.4144300001</v>
      </c>
      <c r="FQ13" s="650">
        <v>289211.55522727268</v>
      </c>
      <c r="FR13" s="650">
        <v>432005.11000000004</v>
      </c>
      <c r="FS13" s="650">
        <v>644764.52193000005</v>
      </c>
      <c r="FT13" s="650">
        <v>1365981.1871572728</v>
      </c>
      <c r="FU13" s="955">
        <v>1365981.1871572728</v>
      </c>
      <c r="FV13" s="16"/>
      <c r="FW13" s="266"/>
      <c r="GJ13" s="203"/>
      <c r="GZ13" s="222">
        <v>8</v>
      </c>
      <c r="HA13" s="663">
        <v>8</v>
      </c>
      <c r="HB13" s="663">
        <v>10</v>
      </c>
      <c r="HC13" s="663">
        <v>10</v>
      </c>
      <c r="HD13" s="682">
        <v>43550832</v>
      </c>
      <c r="HE13" s="682">
        <v>44757820</v>
      </c>
      <c r="HF13" s="724">
        <f>HC13/HB13</f>
        <v>1</v>
      </c>
      <c r="HG13" s="724">
        <f>HE13/HD13</f>
        <v>1.0277144647890999</v>
      </c>
      <c r="HH13" s="723">
        <v>1</v>
      </c>
      <c r="HI13" s="723">
        <v>0</v>
      </c>
      <c r="HJ13" s="723">
        <v>0</v>
      </c>
      <c r="HN13" s="243">
        <v>8</v>
      </c>
      <c r="HO13" s="891">
        <v>8</v>
      </c>
      <c r="HP13" s="793">
        <f>HG13</f>
        <v>1.0277144647890999</v>
      </c>
      <c r="HQ13" s="650">
        <v>0</v>
      </c>
      <c r="HR13" s="794">
        <f>HP13*HQ13</f>
        <v>0</v>
      </c>
      <c r="HS13" s="650">
        <v>4712143</v>
      </c>
      <c r="HT13" s="975">
        <v>4843043</v>
      </c>
      <c r="HU13" s="650">
        <v>2193241.5596000003</v>
      </c>
      <c r="HV13" s="975">
        <v>2385075</v>
      </c>
      <c r="HW13" s="650">
        <v>225000</v>
      </c>
      <c r="HX13" s="955">
        <v>225000</v>
      </c>
      <c r="HY13" s="650">
        <f>SUM(HQ13,HU13,HW13)</f>
        <v>2418241.5596000003</v>
      </c>
      <c r="HZ13" s="650">
        <f>SUM(HR13,HV13,HX13)</f>
        <v>2610075</v>
      </c>
      <c r="IA13" s="206"/>
      <c r="IB13" s="207"/>
      <c r="IC13" s="206"/>
      <c r="ID13" s="244">
        <v>8</v>
      </c>
      <c r="IE13" s="891">
        <v>8</v>
      </c>
      <c r="IF13" s="899">
        <f>HF13</f>
        <v>1</v>
      </c>
      <c r="IG13" s="900">
        <f>HG13</f>
        <v>1.0277144647890999</v>
      </c>
      <c r="IH13" s="955">
        <v>669480.85743452248</v>
      </c>
      <c r="II13" s="794">
        <f>IH13*$IG13</f>
        <v>688035.1610848679</v>
      </c>
      <c r="IJ13" s="955">
        <v>51713</v>
      </c>
      <c r="IK13" s="794">
        <f>IJ13*$IG13</f>
        <v>53146.19811763872</v>
      </c>
      <c r="IL13" s="955">
        <v>554229.39256547752</v>
      </c>
      <c r="IM13" s="794">
        <f>IL13*IF13</f>
        <v>554229.39256547752</v>
      </c>
      <c r="IN13" s="955">
        <v>529630.91050901939</v>
      </c>
      <c r="IO13" s="995">
        <v>529630.91050901939</v>
      </c>
      <c r="IP13" s="955">
        <v>32619.339000000007</v>
      </c>
      <c r="IQ13" s="794">
        <f>IP13*$IG13</f>
        <v>33523.366522159224</v>
      </c>
      <c r="IR13" s="955">
        <v>100134.73700000002</v>
      </c>
      <c r="IS13" s="794">
        <f>IR13*$IG13</f>
        <v>102909.91764275231</v>
      </c>
      <c r="IT13" s="955">
        <v>14399.843999999999</v>
      </c>
      <c r="IU13" s="794">
        <f>IT13*$IG13</f>
        <v>14798.927969506531</v>
      </c>
      <c r="IV13" s="955">
        <v>322924.64970000001</v>
      </c>
      <c r="IW13" s="794">
        <f>IV13*$IG13</f>
        <v>331874.3335336431</v>
      </c>
      <c r="IX13" s="650">
        <f>IH13+IJ13+IL13+IN13+IP13+IT13+IV13+IR13</f>
        <v>2275132.7302090195</v>
      </c>
      <c r="IY13" s="650">
        <f>II13+IK13+IM13+IO13+IQ13+IU13+IW13+IS13</f>
        <v>2308148.2079450646</v>
      </c>
      <c r="IZ13" s="683">
        <f>IY13/HE13*100</f>
        <v>5.1569719167400576</v>
      </c>
      <c r="JD13" s="222">
        <v>8</v>
      </c>
      <c r="JE13" s="663">
        <v>8</v>
      </c>
      <c r="JF13" s="660">
        <f>HC13</f>
        <v>10</v>
      </c>
      <c r="JG13" s="660">
        <f>JF13</f>
        <v>10</v>
      </c>
      <c r="JH13" s="905">
        <f>HE13</f>
        <v>44757820</v>
      </c>
      <c r="JI13" s="905">
        <f>JH13*$JK$26</f>
        <v>44808663.178760275</v>
      </c>
      <c r="JJ13" s="906">
        <f>JG13/JF13</f>
        <v>1</v>
      </c>
      <c r="JK13" s="906">
        <f>JI13/JH13</f>
        <v>1.0011359619114666</v>
      </c>
      <c r="JL13" s="906">
        <f>LC14/LB14</f>
        <v>1.0358372937534719</v>
      </c>
      <c r="JM13" s="663" t="s">
        <v>424</v>
      </c>
      <c r="JN13" s="209"/>
      <c r="JO13" s="210"/>
      <c r="JP13" s="209"/>
      <c r="JQ13" s="222">
        <v>8</v>
      </c>
      <c r="JR13" s="663">
        <v>8</v>
      </c>
      <c r="JS13" s="914" t="str">
        <f>JM13</f>
        <v>Q4</v>
      </c>
      <c r="JT13" s="913">
        <f>JL13</f>
        <v>1.0358372937534719</v>
      </c>
      <c r="JU13" s="671">
        <f>HR13</f>
        <v>0</v>
      </c>
      <c r="JV13" s="671">
        <f>JU13*JL13</f>
        <v>0</v>
      </c>
      <c r="JW13" s="671">
        <f>HT13</f>
        <v>4843043</v>
      </c>
      <c r="JX13" s="671">
        <f>HE13/$HE$26*$JX$26</f>
        <v>4944958.7889900161</v>
      </c>
      <c r="JY13" s="671">
        <f>HV13</f>
        <v>2385075</v>
      </c>
      <c r="JZ13" s="671">
        <f>HE13/$HE$26*$JZ$26</f>
        <v>2219887.0633119191</v>
      </c>
      <c r="KA13" s="671">
        <f>HX13</f>
        <v>225000</v>
      </c>
      <c r="KB13" s="671">
        <f>HE13/$HE$26*$KB$26</f>
        <v>96889.145222078689</v>
      </c>
      <c r="KC13" s="671">
        <f>SUM(JU13,JY13,KA13)</f>
        <v>2610075</v>
      </c>
      <c r="KD13" s="671">
        <f>SUM(JV13,JZ13,KB13)</f>
        <v>2316776.2085339976</v>
      </c>
      <c r="KE13" s="211"/>
      <c r="KF13" s="210"/>
      <c r="KG13" s="209"/>
      <c r="KH13" s="245">
        <f>KH12+1</f>
        <v>8</v>
      </c>
      <c r="KI13" s="917">
        <v>7</v>
      </c>
      <c r="KJ13" s="918">
        <f>JJ12</f>
        <v>1</v>
      </c>
      <c r="KK13" s="918">
        <f>JK12</f>
        <v>1.0011359619114666</v>
      </c>
      <c r="KL13" s="898">
        <v>1.6626666699999999</v>
      </c>
      <c r="KM13" s="801">
        <f>II12*KM$6/KL13*JK12</f>
        <v>870883.99595370272</v>
      </c>
      <c r="KN13" s="898">
        <v>1.6626666699999999</v>
      </c>
      <c r="KO13" s="801">
        <f>IK12*KO$6/KN13*KK13</f>
        <v>106671.10933822667</v>
      </c>
      <c r="KP13" s="898">
        <v>1.6626666699999999</v>
      </c>
      <c r="KQ13" s="801">
        <f>IM12*KQ$6/KP13*KJ13</f>
        <v>526183.7318615996</v>
      </c>
      <c r="KR13" s="898">
        <v>1.6626666699999999</v>
      </c>
      <c r="KS13" s="801">
        <f>IO12*KS$6/KR13*KJ13</f>
        <v>694521.54809798126</v>
      </c>
      <c r="KT13" s="898">
        <v>1.6626666699999999</v>
      </c>
      <c r="KU13" s="801">
        <f>IQ12*KU$6/KT13*KK13</f>
        <v>217641.09712769859</v>
      </c>
      <c r="KV13" s="898">
        <v>1.6626666699999999</v>
      </c>
      <c r="KW13" s="801">
        <f>IS12*KW$6/KV13*KK13</f>
        <v>81186.60998588083</v>
      </c>
      <c r="KX13" s="898">
        <v>1.6626666699999999</v>
      </c>
      <c r="KY13" s="801">
        <f>IU12*KY$6/KX13*$KK13</f>
        <v>73192.432487499857</v>
      </c>
      <c r="KZ13" s="898">
        <v>1.6626666699999999</v>
      </c>
      <c r="LA13" s="919">
        <f>IW12*LA$6/KZ13*$KK13</f>
        <v>267839.09000598377</v>
      </c>
      <c r="LB13" s="646">
        <f>IY12</f>
        <v>2753052.5518501359</v>
      </c>
      <c r="LC13" s="646">
        <f>KM13+KO13+KQ13+KS13+KU13+KY13+LA13+KW13</f>
        <v>2838119.6148585728</v>
      </c>
      <c r="LD13" s="16"/>
      <c r="LE13" s="220"/>
      <c r="LG13" s="222">
        <v>8</v>
      </c>
      <c r="LH13" s="922">
        <v>8</v>
      </c>
      <c r="LI13" s="650">
        <f>HY13</f>
        <v>2418241.5596000003</v>
      </c>
      <c r="LJ13" s="650">
        <f>HZ13</f>
        <v>2610075</v>
      </c>
      <c r="LK13" s="794">
        <f>KD13</f>
        <v>2316776.2085339976</v>
      </c>
      <c r="LL13" s="650">
        <f>IX13</f>
        <v>2275132.7302090195</v>
      </c>
      <c r="LM13" s="650">
        <f>IY13</f>
        <v>2308148.2079450646</v>
      </c>
      <c r="LN13" s="794">
        <f>LC14</f>
        <v>2390865.9932997418</v>
      </c>
      <c r="LO13" s="650">
        <f>LI13-LL13</f>
        <v>143108.82939098077</v>
      </c>
      <c r="LP13" s="650">
        <f>LJ13-LM13</f>
        <v>301926.79205493536</v>
      </c>
      <c r="LQ13" s="650">
        <f>LK13-LN13</f>
        <v>-74089.784765744116</v>
      </c>
      <c r="LU13" s="222">
        <f>LU12+1</f>
        <v>8</v>
      </c>
      <c r="LV13" s="927" t="s">
        <v>211</v>
      </c>
      <c r="LW13" s="309">
        <f>LW12-LW9</f>
        <v>20074431.714334965</v>
      </c>
      <c r="MA13" s="192">
        <f>MA12+1</f>
        <v>7</v>
      </c>
      <c r="MB13" s="194" t="s">
        <v>207</v>
      </c>
      <c r="MC13" s="197"/>
      <c r="MD13" s="246"/>
      <c r="ME13" s="29"/>
      <c r="MF13" s="247"/>
      <c r="MG13" s="246"/>
      <c r="MK13" s="192">
        <f>MK12+1</f>
        <v>7</v>
      </c>
      <c r="ML13" s="194" t="str">
        <f>MB13</f>
        <v>Expenses</v>
      </c>
      <c r="MM13" s="249"/>
      <c r="MN13" s="197"/>
      <c r="MO13" s="197"/>
      <c r="MP13" s="261"/>
    </row>
    <row r="14" spans="1:405" s="29" customFormat="1" ht="16.5" x14ac:dyDescent="0.3">
      <c r="B14" s="181">
        <f>B13+1</f>
        <v>9</v>
      </c>
      <c r="C14" s="251"/>
      <c r="D14" s="796" t="s">
        <v>46</v>
      </c>
      <c r="E14" s="797"/>
      <c r="F14" s="798">
        <f>CS9</f>
        <v>38001297.827399999</v>
      </c>
      <c r="G14" s="799">
        <f>F14/F$24*100</f>
        <v>1.8264813004078884</v>
      </c>
      <c r="H14" s="798">
        <f>CW9</f>
        <v>36813199.8476827</v>
      </c>
      <c r="I14" s="800">
        <f>H14/H$24*100</f>
        <v>1.7601081809735752</v>
      </c>
      <c r="J14" s="801">
        <f>H14-F14</f>
        <v>-1188097.9797172993</v>
      </c>
      <c r="K14" s="798">
        <f>II26</f>
        <v>38759425.026482746</v>
      </c>
      <c r="L14" s="800">
        <f>K14/K$24*100</f>
        <v>1.7665527038445854</v>
      </c>
      <c r="M14" s="801">
        <f>K14-H14</f>
        <v>1946225.1788000464</v>
      </c>
      <c r="N14" s="798">
        <f>KM27</f>
        <v>40115900.113998935</v>
      </c>
      <c r="O14" s="800">
        <f>N14/N$24*100</f>
        <v>1.8263026622357386</v>
      </c>
      <c r="P14" s="801">
        <f>N14-K14</f>
        <v>1356475.0875161886</v>
      </c>
      <c r="Q14" s="798">
        <f>N14-F14</f>
        <v>2114602.2865989357</v>
      </c>
      <c r="R14" s="802">
        <f>O14/G14-1</f>
        <v>-9.7804544787805092E-5</v>
      </c>
      <c r="S14" s="12"/>
      <c r="T14" s="13"/>
      <c r="U14" s="12"/>
      <c r="V14" s="165">
        <f>V12+1</f>
        <v>6</v>
      </c>
      <c r="W14" s="805" t="s">
        <v>172</v>
      </c>
      <c r="X14" s="650">
        <f>SUMPRODUCT($LP$6:$LP$25,HH6:HH25)</f>
        <v>20160.815973906778</v>
      </c>
      <c r="Y14" s="650">
        <f>SUMPRODUCT($LP$6:$LP$25,HI6:HI25)</f>
        <v>6169011.8022504635</v>
      </c>
      <c r="Z14" s="650">
        <f>SUMPRODUCT($LP$6:$LP$25,HJ6:HJ25)</f>
        <v>16392300.707405737</v>
      </c>
      <c r="AA14" s="650">
        <f>SUM(X14:Z14)</f>
        <v>22581473.325630106</v>
      </c>
      <c r="AB14" s="230" t="s">
        <v>430</v>
      </c>
      <c r="AC14" s="12"/>
      <c r="AD14" s="13"/>
      <c r="AE14" s="12"/>
      <c r="AF14" s="252">
        <f>AF13+1</f>
        <v>8</v>
      </c>
      <c r="AG14" s="191" t="s">
        <v>25</v>
      </c>
      <c r="AK14" s="12"/>
      <c r="AL14" s="299"/>
      <c r="AM14" s="12"/>
      <c r="AN14" s="192">
        <v>9</v>
      </c>
      <c r="AO14" s="254"/>
      <c r="AQ14" s="796" t="s">
        <v>212</v>
      </c>
      <c r="AR14" s="797"/>
      <c r="AS14" s="827">
        <v>936011.74</v>
      </c>
      <c r="AT14" s="828">
        <v>9.1275439563570718E-2</v>
      </c>
      <c r="AU14" s="829"/>
      <c r="AV14" s="827">
        <v>1523068.1600000001</v>
      </c>
      <c r="AW14" s="828">
        <v>0.14113218958319465</v>
      </c>
      <c r="AX14" s="830">
        <f>AW14/AT14-1</f>
        <v>0.54622306129679221</v>
      </c>
      <c r="AY14" s="829"/>
      <c r="AZ14" s="827">
        <v>2211207.06</v>
      </c>
      <c r="BA14" s="828">
        <v>0.17139322328365042</v>
      </c>
      <c r="BB14" s="830">
        <f>BA14/AW14-1</f>
        <v>0.2144162418922686</v>
      </c>
      <c r="BC14" s="829"/>
      <c r="BD14" s="827">
        <v>2871478.9273906099</v>
      </c>
      <c r="BE14" s="828">
        <v>0.19525756518837487</v>
      </c>
      <c r="BF14" s="830">
        <f>BE14/BA14-1</f>
        <v>0.13923737151048088</v>
      </c>
      <c r="BG14" s="829"/>
      <c r="BH14" s="827">
        <v>3068616.0090000001</v>
      </c>
      <c r="BI14" s="828">
        <v>0.20193027022305846</v>
      </c>
      <c r="BJ14" s="830">
        <f>BI14/BE14-1</f>
        <v>3.4173861731022326E-2</v>
      </c>
      <c r="BK14" s="829"/>
      <c r="BL14" s="827">
        <v>3403828.76</v>
      </c>
      <c r="BM14" s="828">
        <v>0.20235219545286309</v>
      </c>
      <c r="BN14" s="830">
        <f>BM14/BI14-1</f>
        <v>2.0894600365688465E-3</v>
      </c>
      <c r="BO14" s="829"/>
      <c r="BP14" s="827">
        <v>4538272.1100000003</v>
      </c>
      <c r="BQ14" s="828">
        <v>0.24467837835281422</v>
      </c>
      <c r="BR14" s="830">
        <f>BQ14/BM14-1</f>
        <v>0.20917086076197666</v>
      </c>
      <c r="BS14" s="829"/>
      <c r="BT14" s="796">
        <v>5378012</v>
      </c>
      <c r="BU14" s="796">
        <v>0.27</v>
      </c>
      <c r="BV14" s="796">
        <f>BU14/BQ14-1</f>
        <v>0.10348941258174138</v>
      </c>
      <c r="BW14" s="258">
        <v>1768561.8457999995</v>
      </c>
      <c r="BX14" s="259">
        <v>9.1364858283556505E-2</v>
      </c>
      <c r="BY14" s="831">
        <f>BX14/BU14-1</f>
        <v>-0.66161163598682782</v>
      </c>
      <c r="BZ14" s="831">
        <v>1718931.8145400002</v>
      </c>
      <c r="CA14" s="831">
        <v>8.4265613047061122E-2</v>
      </c>
      <c r="CB14" s="831">
        <f>CA14/BX14-1</f>
        <v>-7.7702142485269743E-2</v>
      </c>
      <c r="CC14" s="956">
        <v>2147244.1196499998</v>
      </c>
      <c r="CD14" s="956">
        <v>0.10331291834244472</v>
      </c>
      <c r="CE14" s="802">
        <f>CD14/CA14-1</f>
        <v>0.22603888593020671</v>
      </c>
      <c r="CF14" s="798">
        <f>F15</f>
        <v>1804966.5518499999</v>
      </c>
      <c r="CG14" s="831">
        <f>G15</f>
        <v>8.6753291158353285E-2</v>
      </c>
      <c r="CH14" s="802">
        <f>CG14/CD14-1</f>
        <v>-0.16028612345652937</v>
      </c>
      <c r="CI14" s="832">
        <f>CF14/AS14-1</f>
        <v>0.92835888132129618</v>
      </c>
      <c r="CJ14" s="802">
        <f>(CI14+1)^(1/(2022-2004))-1</f>
        <v>3.7155250184706556E-2</v>
      </c>
      <c r="CK14" s="12"/>
      <c r="CL14" s="13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3"/>
      <c r="CZ14" s="12"/>
      <c r="DA14" s="12"/>
      <c r="DB14" s="12"/>
      <c r="DC14" s="12"/>
      <c r="DD14" s="12"/>
      <c r="DE14" s="12"/>
      <c r="DF14" s="12"/>
      <c r="DG14" s="12"/>
      <c r="DH14" s="12"/>
      <c r="DI14" s="13"/>
      <c r="DJ14" s="12"/>
      <c r="DK14" s="12"/>
      <c r="DL14" s="12"/>
      <c r="DM14" s="12"/>
      <c r="DN14" s="12"/>
      <c r="DO14" s="12"/>
      <c r="DP14" s="12"/>
      <c r="DQ14" s="12"/>
      <c r="DR14" s="13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3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6"/>
      <c r="ER14" s="266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6"/>
      <c r="FH14" s="266"/>
      <c r="FI14" s="12"/>
      <c r="FJ14" s="192">
        <f>FJ13+1</f>
        <v>9</v>
      </c>
      <c r="FK14" s="265"/>
      <c r="FL14" s="878" t="s">
        <v>213</v>
      </c>
      <c r="FM14" s="860">
        <v>2536</v>
      </c>
      <c r="FN14" s="860">
        <v>11058.939999999999</v>
      </c>
      <c r="FO14" s="860">
        <v>30774.82</v>
      </c>
      <c r="FP14" s="801">
        <f>FM14+FO14+FN14</f>
        <v>44369.759999999995</v>
      </c>
      <c r="FQ14" s="860">
        <v>2536</v>
      </c>
      <c r="FR14" s="860">
        <v>11058.939999999999</v>
      </c>
      <c r="FS14" s="860">
        <v>30774.82</v>
      </c>
      <c r="FT14" s="860">
        <v>44369.759999999995</v>
      </c>
      <c r="FU14" s="955">
        <v>44369.759999999995</v>
      </c>
      <c r="FV14" s="16"/>
      <c r="FW14" s="266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5"/>
      <c r="GJ14" s="266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290"/>
      <c r="GX14" s="12"/>
      <c r="GY14" s="12"/>
      <c r="GZ14" s="192">
        <v>9</v>
      </c>
      <c r="HA14" s="886">
        <v>9</v>
      </c>
      <c r="HB14" s="886">
        <v>11</v>
      </c>
      <c r="HC14" s="886">
        <v>11</v>
      </c>
      <c r="HD14" s="887">
        <v>57378324</v>
      </c>
      <c r="HE14" s="887">
        <v>59003223</v>
      </c>
      <c r="HF14" s="800">
        <f>HC14/HB14</f>
        <v>1</v>
      </c>
      <c r="HG14" s="800">
        <f>HE14/HD14</f>
        <v>1.0283190390852128</v>
      </c>
      <c r="HH14" s="802">
        <v>1</v>
      </c>
      <c r="HI14" s="802">
        <v>0</v>
      </c>
      <c r="HJ14" s="802">
        <v>0</v>
      </c>
      <c r="HK14" s="12"/>
      <c r="HL14" s="13"/>
      <c r="HM14" s="12"/>
      <c r="HN14" s="267">
        <v>9</v>
      </c>
      <c r="HO14" s="892">
        <v>9</v>
      </c>
      <c r="HP14" s="799">
        <f>HG14</f>
        <v>1.0283190390852128</v>
      </c>
      <c r="HQ14" s="860">
        <v>0</v>
      </c>
      <c r="HR14" s="801">
        <f>HP14*HQ14</f>
        <v>0</v>
      </c>
      <c r="HS14" s="860">
        <v>6247804</v>
      </c>
      <c r="HT14" s="975">
        <v>6429726</v>
      </c>
      <c r="HU14" s="860">
        <v>2769420.5663999999</v>
      </c>
      <c r="HV14" s="975">
        <v>3218850</v>
      </c>
      <c r="HW14" s="860">
        <v>247500</v>
      </c>
      <c r="HX14" s="955">
        <v>247500</v>
      </c>
      <c r="HY14" s="860">
        <f>SUM(HQ14,HU14,HW14)</f>
        <v>3016920.5663999999</v>
      </c>
      <c r="HZ14" s="860">
        <f>SUM(HR14,HV14,HX14)</f>
        <v>3466350</v>
      </c>
      <c r="IA14" s="206"/>
      <c r="IB14" s="207"/>
      <c r="IC14" s="206"/>
      <c r="ID14" s="208">
        <v>9</v>
      </c>
      <c r="IE14" s="892">
        <v>9</v>
      </c>
      <c r="IF14" s="896">
        <f>HF14</f>
        <v>1</v>
      </c>
      <c r="IG14" s="897">
        <f>HG14</f>
        <v>1.0283190390852128</v>
      </c>
      <c r="IH14" s="955">
        <v>785780.35668281571</v>
      </c>
      <c r="II14" s="801">
        <f>IH14*$IG14</f>
        <v>808032.90131610888</v>
      </c>
      <c r="IJ14" s="955">
        <v>102327.17</v>
      </c>
      <c r="IK14" s="801">
        <f>IJ14*$IG14</f>
        <v>105224.97712670921</v>
      </c>
      <c r="IL14" s="955">
        <v>563972.59331718413</v>
      </c>
      <c r="IM14" s="801">
        <f>IL14*IF14</f>
        <v>563972.59331718413</v>
      </c>
      <c r="IN14" s="955">
        <v>665395.07612386486</v>
      </c>
      <c r="IO14" s="995">
        <v>665395.07612386486</v>
      </c>
      <c r="IP14" s="955">
        <v>66175.421999999991</v>
      </c>
      <c r="IQ14" s="801">
        <f>IP14*$IG14</f>
        <v>68049.446362098446</v>
      </c>
      <c r="IR14" s="955">
        <v>70327.29800000001</v>
      </c>
      <c r="IS14" s="801">
        <f>IR14*$IG14</f>
        <v>72318.899500819418</v>
      </c>
      <c r="IT14" s="955">
        <v>69709.170000000013</v>
      </c>
      <c r="IU14" s="801">
        <f>IT14*$IG14</f>
        <v>71683.26670982776</v>
      </c>
      <c r="IV14" s="955">
        <v>823991.9706</v>
      </c>
      <c r="IW14" s="801">
        <f>IV14*$IG14</f>
        <v>847326.63142132293</v>
      </c>
      <c r="IX14" s="860">
        <f>IH14+IJ14+IL14+IN14+IP14+IT14+IV14+IR14</f>
        <v>3147679.0567238643</v>
      </c>
      <c r="IY14" s="860">
        <f>II14+IK14+IM14+IO14+IQ14+IU14+IW14+IS14</f>
        <v>3202003.7918779361</v>
      </c>
      <c r="IZ14" s="898">
        <f>IY14/HE14*100</f>
        <v>5.4268286189687229</v>
      </c>
      <c r="JA14" s="12"/>
      <c r="JB14" s="13"/>
      <c r="JC14" s="12"/>
      <c r="JD14" s="192">
        <v>9</v>
      </c>
      <c r="JE14" s="886">
        <v>9</v>
      </c>
      <c r="JF14" s="796">
        <f>HC14</f>
        <v>11</v>
      </c>
      <c r="JG14" s="796">
        <f>JF14</f>
        <v>11</v>
      </c>
      <c r="JH14" s="859">
        <f>HE14</f>
        <v>59003223</v>
      </c>
      <c r="JI14" s="859">
        <f>JH14*$JK$26</f>
        <v>59070248.413981773</v>
      </c>
      <c r="JJ14" s="904">
        <f>JG14/JF14</f>
        <v>1</v>
      </c>
      <c r="JK14" s="904">
        <f>JI14/JH14</f>
        <v>1.0011359619114666</v>
      </c>
      <c r="JL14" s="904">
        <f>LC15/LB15</f>
        <v>1.0309535416831195</v>
      </c>
      <c r="JM14" s="886" t="s">
        <v>238</v>
      </c>
      <c r="JN14" s="209"/>
      <c r="JO14" s="210"/>
      <c r="JP14" s="209"/>
      <c r="JQ14" s="192">
        <v>9</v>
      </c>
      <c r="JR14" s="886">
        <v>9</v>
      </c>
      <c r="JS14" s="910" t="str">
        <f>JM14</f>
        <v>Q3</v>
      </c>
      <c r="JT14" s="911">
        <f>JL14</f>
        <v>1.0309535416831195</v>
      </c>
      <c r="JU14" s="860">
        <f>HR14</f>
        <v>0</v>
      </c>
      <c r="JV14" s="860">
        <f>JU14*JL14</f>
        <v>0</v>
      </c>
      <c r="JW14" s="860">
        <f>HT14</f>
        <v>6429726</v>
      </c>
      <c r="JX14" s="860">
        <f>HE14/$HE$26*$JX$26</f>
        <v>6518827.461940458</v>
      </c>
      <c r="JY14" s="860">
        <f>HV14</f>
        <v>3218850</v>
      </c>
      <c r="JZ14" s="860">
        <f>HE14/$HE$26*$JZ$26</f>
        <v>2926426.9669838315</v>
      </c>
      <c r="KA14" s="860">
        <f>HX14</f>
        <v>247500</v>
      </c>
      <c r="KB14" s="860">
        <f>HE14/$HE$26*$KB$26</f>
        <v>127726.77136236065</v>
      </c>
      <c r="KC14" s="860">
        <f>SUM(JU14,JY14,KA14)</f>
        <v>3466350</v>
      </c>
      <c r="KD14" s="860">
        <f>SUM(JV14,JZ14,KB14)</f>
        <v>3054153.7383461921</v>
      </c>
      <c r="KE14" s="211"/>
      <c r="KF14" s="210"/>
      <c r="KG14" s="209"/>
      <c r="KH14" s="243">
        <f>KH13+1</f>
        <v>9</v>
      </c>
      <c r="KI14" s="891">
        <v>8</v>
      </c>
      <c r="KJ14" s="920">
        <f>JJ13</f>
        <v>1</v>
      </c>
      <c r="KK14" s="920">
        <f>JK13</f>
        <v>1.0011359619114666</v>
      </c>
      <c r="KL14" s="683">
        <v>1.6546666699999999</v>
      </c>
      <c r="KM14" s="794">
        <f>II13*KM$6/KL14*JK13</f>
        <v>713072.41834353353</v>
      </c>
      <c r="KN14" s="683">
        <v>1.6546666699999999</v>
      </c>
      <c r="KO14" s="794">
        <f>IK13*KO$6/KN14*KK14</f>
        <v>55080.161830326368</v>
      </c>
      <c r="KP14" s="683">
        <v>1.6546666699999999</v>
      </c>
      <c r="KQ14" s="794">
        <f>IM13*KQ$6/KP14*KJ14</f>
        <v>573745.77112461848</v>
      </c>
      <c r="KR14" s="683">
        <v>1.6546666699999999</v>
      </c>
      <c r="KS14" s="794">
        <f>IO13*KS$6/KR14*KJ14</f>
        <v>548281.08945075667</v>
      </c>
      <c r="KT14" s="683">
        <v>1.6546666699999999</v>
      </c>
      <c r="KU14" s="794">
        <f>IQ13*KU$6/KT14*KK14</f>
        <v>34743.265154183224</v>
      </c>
      <c r="KV14" s="683">
        <v>1.6546666699999999</v>
      </c>
      <c r="KW14" s="794">
        <f>IS13*KW$6/KV14*KK14</f>
        <v>106654.75835471103</v>
      </c>
      <c r="KX14" s="683">
        <v>1.6546666699999999</v>
      </c>
      <c r="KY14" s="794">
        <f>IU13*KY$6/KX14*$KK14</f>
        <v>15337.453596802627</v>
      </c>
      <c r="KZ14" s="683">
        <v>1.6546666699999999</v>
      </c>
      <c r="LA14" s="794">
        <f>IW13*LA$6/KZ14*$KK14</f>
        <v>343951.07544480998</v>
      </c>
      <c r="LB14" s="650">
        <f>IY13</f>
        <v>2308148.2079450646</v>
      </c>
      <c r="LC14" s="650">
        <f>KM14+KO14+KQ14+KS14+KU14+KY14+LA14+KW14</f>
        <v>2390865.9932997418</v>
      </c>
      <c r="LD14" s="16"/>
      <c r="LE14" s="220"/>
      <c r="LF14" s="12"/>
      <c r="LG14" s="192">
        <v>9</v>
      </c>
      <c r="LH14" s="921">
        <v>9</v>
      </c>
      <c r="LI14" s="860">
        <f>HY14</f>
        <v>3016920.5663999999</v>
      </c>
      <c r="LJ14" s="860">
        <f>HZ14</f>
        <v>3466350</v>
      </c>
      <c r="LK14" s="801">
        <f>KD14</f>
        <v>3054153.7383461921</v>
      </c>
      <c r="LL14" s="860">
        <f>IX14</f>
        <v>3147679.0567238643</v>
      </c>
      <c r="LM14" s="860">
        <f>IY14</f>
        <v>3202003.7918779361</v>
      </c>
      <c r="LN14" s="801">
        <f>LC15</f>
        <v>3301117.1497193365</v>
      </c>
      <c r="LO14" s="860">
        <f>LI14-LL14</f>
        <v>-130758.49032386439</v>
      </c>
      <c r="LP14" s="860">
        <f>LJ14-LM14</f>
        <v>264346.20812206389</v>
      </c>
      <c r="LQ14" s="860">
        <f>LK14-LN14</f>
        <v>-246963.41137314448</v>
      </c>
      <c r="LR14" s="12"/>
      <c r="LS14" s="13"/>
      <c r="LT14" s="12"/>
      <c r="LU14" s="5"/>
      <c r="LV14" s="12"/>
      <c r="LW14" s="12"/>
      <c r="LX14" s="12"/>
      <c r="LY14" s="13"/>
      <c r="LZ14" s="12"/>
      <c r="MA14" s="222">
        <f>MA13+1</f>
        <v>8</v>
      </c>
      <c r="MB14" s="812" t="s">
        <v>46</v>
      </c>
      <c r="MC14" s="650">
        <f>N14</f>
        <v>40115900.113998935</v>
      </c>
      <c r="MD14" s="747">
        <f>MC14/$MC$34*100</f>
        <v>1.8263026622357386</v>
      </c>
      <c r="ME14" s="660"/>
      <c r="MF14" s="792">
        <f>MC14</f>
        <v>40115900.113998935</v>
      </c>
      <c r="MG14" s="747">
        <f>MF14/$MG$34*100</f>
        <v>1.8263026622357386</v>
      </c>
      <c r="MH14" s="12"/>
      <c r="MI14" s="13"/>
      <c r="MJ14" s="12"/>
      <c r="MK14" s="222">
        <f>MK13+1</f>
        <v>8</v>
      </c>
      <c r="ML14" s="231" t="str">
        <f>MB14</f>
        <v>Direct Labour</v>
      </c>
      <c r="MM14" s="979">
        <v>33580635.97480382</v>
      </c>
      <c r="MN14" s="650">
        <f>MC14</f>
        <v>40115900.113998935</v>
      </c>
      <c r="MO14" s="650">
        <f>MN14-MM14</f>
        <v>6535264.1391951144</v>
      </c>
      <c r="MP14" s="823">
        <f>MO14/MM14</f>
        <v>0.19461406699082903</v>
      </c>
      <c r="MQ14" s="12"/>
      <c r="MR14" s="13"/>
      <c r="MS14" s="12"/>
    </row>
    <row r="15" spans="1:405" ht="16.5" x14ac:dyDescent="0.3">
      <c r="B15" s="143">
        <f>B14+1</f>
        <v>10</v>
      </c>
      <c r="C15" s="223"/>
      <c r="D15" s="660" t="s">
        <v>47</v>
      </c>
      <c r="E15" s="791"/>
      <c r="F15" s="792">
        <f>DD9</f>
        <v>1804966.5518499999</v>
      </c>
      <c r="G15" s="793">
        <f>F15/F$24*100</f>
        <v>8.6753291158353285E-2</v>
      </c>
      <c r="H15" s="792">
        <f>DG9</f>
        <v>1805841.8473045453</v>
      </c>
      <c r="I15" s="724">
        <f>H15/H$24*100</f>
        <v>8.6340688180770606E-2</v>
      </c>
      <c r="J15" s="794">
        <f>H15-F15</f>
        <v>875.29545454541221</v>
      </c>
      <c r="K15" s="792">
        <f>IK26</f>
        <v>1927835.2228029165</v>
      </c>
      <c r="L15" s="724">
        <f>K15/K$24*100</f>
        <v>8.7865661657323263E-2</v>
      </c>
      <c r="M15" s="794">
        <f>K15-H15</f>
        <v>121993.3754983712</v>
      </c>
      <c r="N15" s="792">
        <f>KO27</f>
        <v>1996167.4500044165</v>
      </c>
      <c r="O15" s="724">
        <f>N15/N$24*100</f>
        <v>9.0876832324627621E-2</v>
      </c>
      <c r="P15" s="794">
        <f>N15-K15</f>
        <v>68332.227201499976</v>
      </c>
      <c r="Q15" s="792">
        <f>N15-F15</f>
        <v>191200.89815441659</v>
      </c>
      <c r="R15" s="723">
        <f>O15/G15-1</f>
        <v>4.7531812467466183E-2</v>
      </c>
      <c r="V15" s="252">
        <f>V14+1</f>
        <v>7</v>
      </c>
      <c r="W15" s="806" t="s">
        <v>179</v>
      </c>
      <c r="X15" s="800">
        <f>X14/K$24*100</f>
        <v>9.1887699433321679E-4</v>
      </c>
      <c r="Y15" s="800">
        <f>Y14/K$24*100</f>
        <v>0.28116734115298747</v>
      </c>
      <c r="Z15" s="800">
        <f>Z14/K$24*100</f>
        <v>0.74711797497293575</v>
      </c>
      <c r="AA15" s="800">
        <f>AA14/K$24*100</f>
        <v>1.0292041931202562</v>
      </c>
      <c r="AB15" s="227"/>
      <c r="AC15" s="233"/>
      <c r="AF15" s="165">
        <f>AF14+1</f>
        <v>9</v>
      </c>
      <c r="AG15" s="812" t="s">
        <v>77</v>
      </c>
      <c r="AH15" s="813">
        <f>AH11*II27</f>
        <v>1855890.8043902982</v>
      </c>
      <c r="AI15" s="813">
        <f>AI11*IK27</f>
        <v>92205.377508588761</v>
      </c>
      <c r="AJ15" s="813">
        <f>AJ11*IM27</f>
        <v>590454.85823481809</v>
      </c>
      <c r="AL15" s="299"/>
      <c r="AN15" s="222">
        <v>10</v>
      </c>
      <c r="AO15" s="18"/>
      <c r="AQ15" s="660" t="s">
        <v>48</v>
      </c>
      <c r="AR15" s="791"/>
      <c r="AS15" s="821">
        <v>7353821.8799999999</v>
      </c>
      <c r="AT15" s="822">
        <v>0.71710994198556099</v>
      </c>
      <c r="AU15" s="783"/>
      <c r="AV15" s="821">
        <v>7828448.5450000018</v>
      </c>
      <c r="AW15" s="822">
        <v>0.72540816833517452</v>
      </c>
      <c r="AX15" s="823">
        <f>AW15/AT15-1</f>
        <v>1.1571763078109143E-2</v>
      </c>
      <c r="AY15" s="783"/>
      <c r="AZ15" s="821">
        <v>8035314.9274999993</v>
      </c>
      <c r="BA15" s="822">
        <v>0.62282657759036675</v>
      </c>
      <c r="BB15" s="823">
        <f>BA15/AW15-1</f>
        <v>-0.14141223551457172</v>
      </c>
      <c r="BC15" s="783"/>
      <c r="BD15" s="821">
        <v>8562729.5753158554</v>
      </c>
      <c r="BE15" s="822">
        <v>0.58225665955417472</v>
      </c>
      <c r="BF15" s="823">
        <f>BE15/BA15-1</f>
        <v>-6.5138386022561279E-2</v>
      </c>
      <c r="BG15" s="783"/>
      <c r="BH15" s="821">
        <v>11045828.998199999</v>
      </c>
      <c r="BI15" s="822">
        <v>0.72687075473189988</v>
      </c>
      <c r="BJ15" s="823">
        <f>BI15/BE15-1</f>
        <v>0.24836829739045663</v>
      </c>
      <c r="BK15" s="783"/>
      <c r="BL15" s="821">
        <v>11568330.944249999</v>
      </c>
      <c r="BM15" s="822">
        <v>0.68771883938552769</v>
      </c>
      <c r="BN15" s="823">
        <f>BM15/BI15-1</f>
        <v>-5.3863654702703045E-2</v>
      </c>
      <c r="BO15" s="783"/>
      <c r="BP15" s="821">
        <v>12592679.530000001</v>
      </c>
      <c r="BQ15" s="822">
        <v>0.67892720661852923</v>
      </c>
      <c r="BR15" s="823">
        <f>BQ15/BM15-1</f>
        <v>-1.2783760257104038E-2</v>
      </c>
      <c r="BS15" s="783"/>
      <c r="BT15" s="660">
        <v>14006160</v>
      </c>
      <c r="BU15" s="660">
        <v>0.71</v>
      </c>
      <c r="BV15" s="660">
        <f>BU15/BQ15-1</f>
        <v>4.5767488883281304E-2</v>
      </c>
      <c r="BW15" s="237">
        <v>14529003.2212</v>
      </c>
      <c r="BX15" s="238">
        <v>0.75057613815354784</v>
      </c>
      <c r="BY15" s="824">
        <f>BX15/BU15-1</f>
        <v>5.71494903571097E-2</v>
      </c>
      <c r="BZ15" s="824">
        <v>16169362.853399999</v>
      </c>
      <c r="CA15" s="824">
        <v>0.79265580047847906</v>
      </c>
      <c r="CB15" s="824">
        <f>CA15/BX15-1</f>
        <v>5.6063149607245899E-2</v>
      </c>
      <c r="CC15" s="956">
        <v>15891148.762050001</v>
      </c>
      <c r="CD15" s="956">
        <v>0.76458980113025976</v>
      </c>
      <c r="CE15" s="723">
        <f>CD15/CA15-1</f>
        <v>-3.5407549318730136E-2</v>
      </c>
      <c r="CF15" s="792">
        <f>F16</f>
        <v>16523554.25475</v>
      </c>
      <c r="CG15" s="824">
        <f>G16</f>
        <v>0.7941824250227445</v>
      </c>
      <c r="CH15" s="723">
        <f>CG15/CD15-1</f>
        <v>3.8703921826761523E-2</v>
      </c>
      <c r="CI15" s="825">
        <f>CF15/AS15-1</f>
        <v>1.246934250568223</v>
      </c>
      <c r="CJ15" s="723">
        <f>(CI15+1)^(1/(2022-2004))-1</f>
        <v>4.6002681844093063E-2</v>
      </c>
      <c r="DD15" s="12"/>
      <c r="DN15" s="12"/>
      <c r="DU15" s="12"/>
      <c r="DV15" s="12"/>
      <c r="DW15" s="12"/>
      <c r="DX15" s="12"/>
      <c r="DY15" s="12"/>
      <c r="EF15" s="29"/>
      <c r="EQ15" s="19"/>
      <c r="ER15" s="266"/>
      <c r="FG15" s="19"/>
      <c r="FH15" s="266"/>
      <c r="FJ15" s="222">
        <f>FJ14+1</f>
        <v>10</v>
      </c>
      <c r="FK15" s="242"/>
      <c r="FL15" s="877" t="s">
        <v>214</v>
      </c>
      <c r="FM15" s="650">
        <v>38301.99</v>
      </c>
      <c r="FN15" s="650">
        <v>65518.33</v>
      </c>
      <c r="FO15" s="650">
        <v>227733.46400000001</v>
      </c>
      <c r="FP15" s="794">
        <f>FM15+FO15+FN15</f>
        <v>331553.78400000004</v>
      </c>
      <c r="FQ15" s="650">
        <v>38301.99</v>
      </c>
      <c r="FR15" s="650">
        <v>65518.33</v>
      </c>
      <c r="FS15" s="650">
        <v>229810.96400000001</v>
      </c>
      <c r="FT15" s="650">
        <v>333631.28399999999</v>
      </c>
      <c r="FU15" s="955">
        <v>333631.28399999999</v>
      </c>
      <c r="FV15" s="16"/>
      <c r="FW15" s="266"/>
      <c r="GN15" s="355"/>
      <c r="GO15" s="355"/>
      <c r="GP15" s="355"/>
      <c r="GZ15" s="222">
        <v>10</v>
      </c>
      <c r="HA15" s="663">
        <v>10</v>
      </c>
      <c r="HB15" s="663">
        <v>10</v>
      </c>
      <c r="HC15" s="663">
        <v>10</v>
      </c>
      <c r="HD15" s="682">
        <v>66218585</v>
      </c>
      <c r="HE15" s="682">
        <v>68377091</v>
      </c>
      <c r="HF15" s="724">
        <f>HC15/HB15</f>
        <v>1</v>
      </c>
      <c r="HG15" s="724">
        <f>HE15/HD15</f>
        <v>1.0325966796179653</v>
      </c>
      <c r="HH15" s="723">
        <v>0.5</v>
      </c>
      <c r="HI15" s="723">
        <v>0.5</v>
      </c>
      <c r="HJ15" s="723">
        <v>0</v>
      </c>
      <c r="HN15" s="243">
        <v>10</v>
      </c>
      <c r="HO15" s="891">
        <v>10</v>
      </c>
      <c r="HP15" s="793">
        <f>HG15</f>
        <v>1.0325966796179653</v>
      </c>
      <c r="HQ15" s="650">
        <v>0</v>
      </c>
      <c r="HR15" s="794">
        <f>HP15*HQ15</f>
        <v>0</v>
      </c>
      <c r="HS15" s="650">
        <v>7192089</v>
      </c>
      <c r="HT15" s="975">
        <v>7421436</v>
      </c>
      <c r="HU15" s="650">
        <v>3251905.9609000003</v>
      </c>
      <c r="HV15" s="975">
        <v>3686139</v>
      </c>
      <c r="HW15" s="650">
        <v>225000</v>
      </c>
      <c r="HX15" s="955">
        <v>225000</v>
      </c>
      <c r="HY15" s="650">
        <f>SUM(HQ15,HU15,HW15)</f>
        <v>3476905.9609000003</v>
      </c>
      <c r="HZ15" s="650">
        <f>SUM(HR15,HV15,HX15)</f>
        <v>3911139</v>
      </c>
      <c r="IA15" s="206"/>
      <c r="IB15" s="207"/>
      <c r="IC15" s="206"/>
      <c r="ID15" s="244">
        <v>10</v>
      </c>
      <c r="IE15" s="891">
        <v>10</v>
      </c>
      <c r="IF15" s="899">
        <f>HF15</f>
        <v>1</v>
      </c>
      <c r="IG15" s="900">
        <f>HG15</f>
        <v>1.0325966796179653</v>
      </c>
      <c r="IH15" s="955">
        <v>868571.60226464225</v>
      </c>
      <c r="II15" s="794">
        <f>IH15*$IG15</f>
        <v>896884.15250892553</v>
      </c>
      <c r="IJ15" s="955">
        <v>55419.501999999993</v>
      </c>
      <c r="IK15" s="794">
        <f>IJ15*$IG15</f>
        <v>57225.993751281181</v>
      </c>
      <c r="IL15" s="955">
        <v>516575.9077353577</v>
      </c>
      <c r="IM15" s="794">
        <f>IL15*IF15</f>
        <v>516575.9077353577</v>
      </c>
      <c r="IN15" s="955">
        <v>765934.96395878121</v>
      </c>
      <c r="IO15" s="995">
        <v>780068.43343405006</v>
      </c>
      <c r="IP15" s="955">
        <v>75147.020000000019</v>
      </c>
      <c r="IQ15" s="794">
        <f>IP15*$IG15</f>
        <v>77596.563335184852</v>
      </c>
      <c r="IR15" s="955">
        <v>56302.500000000007</v>
      </c>
      <c r="IS15" s="794">
        <f>IR15*$IG15</f>
        <v>58137.774554190502</v>
      </c>
      <c r="IT15" s="955">
        <v>132365.25</v>
      </c>
      <c r="IU15" s="794">
        <f>IT15*$IG15</f>
        <v>136679.91764680188</v>
      </c>
      <c r="IV15" s="955">
        <v>335051.89025</v>
      </c>
      <c r="IW15" s="794">
        <f>IV15*$IG15</f>
        <v>345973.4693718729</v>
      </c>
      <c r="IX15" s="650">
        <f>IH15+IJ15+IL15+IN15+IP15+IT15+IV15+IR15</f>
        <v>2805368.6362087815</v>
      </c>
      <c r="IY15" s="650">
        <f>II15+IK15+IM15+IO15+IQ15+IU15+IW15+IS15</f>
        <v>2869142.2123376648</v>
      </c>
      <c r="IZ15" s="683">
        <f>IY15/HE15*100</f>
        <v>4.1960577298289348</v>
      </c>
      <c r="JD15" s="222">
        <v>10</v>
      </c>
      <c r="JE15" s="663">
        <v>10</v>
      </c>
      <c r="JF15" s="660">
        <f>HC15</f>
        <v>10</v>
      </c>
      <c r="JG15" s="660">
        <f>JF15</f>
        <v>10</v>
      </c>
      <c r="JH15" s="905">
        <f>HE15</f>
        <v>68377091</v>
      </c>
      <c r="JI15" s="905">
        <f>JH15*$JK$26</f>
        <v>68454764.77099289</v>
      </c>
      <c r="JJ15" s="906">
        <f>JG15/JF15</f>
        <v>1</v>
      </c>
      <c r="JK15" s="906">
        <f>JI15/JH15</f>
        <v>1.0011359619114666</v>
      </c>
      <c r="JL15" s="906">
        <f>LC16/LB16</f>
        <v>1.030873972012277</v>
      </c>
      <c r="JM15" s="663" t="s">
        <v>238</v>
      </c>
      <c r="JN15" s="209"/>
      <c r="JO15" s="210"/>
      <c r="JP15" s="209"/>
      <c r="JQ15" s="222">
        <v>10</v>
      </c>
      <c r="JR15" s="663">
        <v>10</v>
      </c>
      <c r="JS15" s="914" t="str">
        <f>JM15</f>
        <v>Q3</v>
      </c>
      <c r="JT15" s="913">
        <f>JL15</f>
        <v>1.030873972012277</v>
      </c>
      <c r="JU15" s="671">
        <f>HR15</f>
        <v>0</v>
      </c>
      <c r="JV15" s="671">
        <f>JU15*JL15</f>
        <v>0</v>
      </c>
      <c r="JW15" s="671">
        <f>HT15</f>
        <v>7421436</v>
      </c>
      <c r="JX15" s="671">
        <f>HE15/$HE$26*$JX$26</f>
        <v>7554476.4491662038</v>
      </c>
      <c r="JY15" s="671">
        <f>HV15</f>
        <v>3686139</v>
      </c>
      <c r="JZ15" s="671">
        <f>HE15/$HE$26*$JZ$26</f>
        <v>3391349.7068847823</v>
      </c>
      <c r="KA15" s="671">
        <f>HX15</f>
        <v>225000</v>
      </c>
      <c r="KB15" s="671">
        <f>HE15/$HE$26*$KB$26</f>
        <v>148018.77972971628</v>
      </c>
      <c r="KC15" s="671">
        <f>SUM(JU15,JY15,KA15)</f>
        <v>3911139</v>
      </c>
      <c r="KD15" s="671">
        <f>SUM(JV15,JZ15,KB15)</f>
        <v>3539368.4866144988</v>
      </c>
      <c r="KE15" s="211"/>
      <c r="KF15" s="210"/>
      <c r="KG15" s="209"/>
      <c r="KH15" s="245">
        <f>KH14+1</f>
        <v>10</v>
      </c>
      <c r="KI15" s="917">
        <v>9</v>
      </c>
      <c r="KJ15" s="918">
        <f>JJ14</f>
        <v>1</v>
      </c>
      <c r="KK15" s="918">
        <f>JK14</f>
        <v>1.0011359619114666</v>
      </c>
      <c r="KL15" s="898">
        <v>1.6626666699999999</v>
      </c>
      <c r="KM15" s="801">
        <f>II14*KM$6/KL15*JK14</f>
        <v>833407.44945750851</v>
      </c>
      <c r="KN15" s="898">
        <v>1.6626666699999999</v>
      </c>
      <c r="KO15" s="801">
        <f>IK14*KO$6/KN15*KK15</f>
        <v>108529.34288140864</v>
      </c>
      <c r="KP15" s="898">
        <v>1.6626666699999999</v>
      </c>
      <c r="KQ15" s="801">
        <f>IM14*KQ$6/KP15*KJ15</f>
        <v>581022.92863022629</v>
      </c>
      <c r="KR15" s="898">
        <v>1.6626666699999999</v>
      </c>
      <c r="KS15" s="801">
        <f>IO14*KS$6/KR15*KJ15</f>
        <v>685511.6727422016</v>
      </c>
      <c r="KT15" s="898">
        <v>1.6626666699999999</v>
      </c>
      <c r="KU15" s="801">
        <f>IQ14*KU$6/KT15*KK15</f>
        <v>70186.393941705915</v>
      </c>
      <c r="KV15" s="898">
        <v>1.6626666699999999</v>
      </c>
      <c r="KW15" s="801">
        <f>IS14*KW$6/KV15*KK15</f>
        <v>74589.920141102353</v>
      </c>
      <c r="KX15" s="898">
        <v>1.6626666699999999</v>
      </c>
      <c r="KY15" s="801">
        <f>IU14*KY$6/KX15*$KK15</f>
        <v>73934.32665936531</v>
      </c>
      <c r="KZ15" s="898">
        <v>1.6626666699999999</v>
      </c>
      <c r="LA15" s="919">
        <f>IW14*LA$6/KZ15*$KK15</f>
        <v>873935.11526581831</v>
      </c>
      <c r="LB15" s="646">
        <f>IY14</f>
        <v>3202003.7918779361</v>
      </c>
      <c r="LC15" s="646">
        <f>KM15+KO15+KQ15+KS15+KU15+KY15+LA15+KW15</f>
        <v>3301117.1497193365</v>
      </c>
      <c r="LD15" s="16"/>
      <c r="LE15" s="220"/>
      <c r="LG15" s="222">
        <v>10</v>
      </c>
      <c r="LH15" s="922">
        <v>10</v>
      </c>
      <c r="LI15" s="650">
        <f>HY15</f>
        <v>3476905.9609000003</v>
      </c>
      <c r="LJ15" s="650">
        <f>HZ15</f>
        <v>3911139</v>
      </c>
      <c r="LK15" s="794">
        <f>KD15</f>
        <v>3539368.4866144988</v>
      </c>
      <c r="LL15" s="650">
        <f>IX15</f>
        <v>2805368.6362087815</v>
      </c>
      <c r="LM15" s="650">
        <f>IY15</f>
        <v>2869142.2123376648</v>
      </c>
      <c r="LN15" s="794">
        <f>LC16</f>
        <v>2957724.0287006204</v>
      </c>
      <c r="LO15" s="650">
        <f>LI15-LL15</f>
        <v>671537.32469121879</v>
      </c>
      <c r="LP15" s="650">
        <f>LJ15-LM15</f>
        <v>1041996.7876623352</v>
      </c>
      <c r="LQ15" s="650">
        <f>LK15-LN15</f>
        <v>581644.45791387837</v>
      </c>
      <c r="MA15" s="192">
        <f>MA14+1</f>
        <v>9</v>
      </c>
      <c r="MB15" s="814" t="s">
        <v>57</v>
      </c>
      <c r="MC15" s="860">
        <f>N15</f>
        <v>1996167.4500044165</v>
      </c>
      <c r="MD15" s="928">
        <f>MC15/$MC$34*100</f>
        <v>9.0876832324627621E-2</v>
      </c>
      <c r="ME15" s="796"/>
      <c r="MF15" s="798">
        <f>MC15</f>
        <v>1996167.4500044165</v>
      </c>
      <c r="MG15" s="928">
        <f>MF15/$MG$34*100</f>
        <v>9.0876832324627621E-2</v>
      </c>
      <c r="MK15" s="192">
        <f>MK14+1</f>
        <v>9</v>
      </c>
      <c r="ML15" s="253" t="str">
        <f>MB15</f>
        <v>Contract Labour</v>
      </c>
      <c r="MM15" s="979">
        <v>2011456.9761871099</v>
      </c>
      <c r="MN15" s="860">
        <f>MC15</f>
        <v>1996167.4500044165</v>
      </c>
      <c r="MO15" s="860">
        <f>MN15-MM15</f>
        <v>-15289.526182693429</v>
      </c>
      <c r="MP15" s="802">
        <f>MO15/MM15</f>
        <v>-7.6012195953979803E-3</v>
      </c>
    </row>
    <row r="16" spans="1:405" s="29" customFormat="1" ht="16.5" x14ac:dyDescent="0.3">
      <c r="B16" s="181">
        <f>B15+1</f>
        <v>11</v>
      </c>
      <c r="C16" s="251"/>
      <c r="D16" s="796" t="s">
        <v>48</v>
      </c>
      <c r="E16" s="797"/>
      <c r="F16" s="798">
        <f>DN9</f>
        <v>16523554.25475</v>
      </c>
      <c r="G16" s="799">
        <f>F16/F$24*100</f>
        <v>0.7941824250227445</v>
      </c>
      <c r="H16" s="798">
        <f>DP9</f>
        <v>17962433.615376391</v>
      </c>
      <c r="I16" s="800">
        <f>H16/H$24*100</f>
        <v>0.85881766560449857</v>
      </c>
      <c r="J16" s="801">
        <f>H16-F16</f>
        <v>1438879.3606263902</v>
      </c>
      <c r="K16" s="798">
        <f>IM26</f>
        <v>18604918.663317382</v>
      </c>
      <c r="L16" s="800">
        <f>K16/K$24*100</f>
        <v>0.84796328498256912</v>
      </c>
      <c r="M16" s="801">
        <f>K16-H16</f>
        <v>642485.04794099182</v>
      </c>
      <c r="N16" s="798">
        <f>KQ27</f>
        <v>19173425.776259005</v>
      </c>
      <c r="O16" s="800">
        <f>N16/N$24*100</f>
        <v>0.87288278313221068</v>
      </c>
      <c r="P16" s="801">
        <f>N16-K16</f>
        <v>568507.11294162273</v>
      </c>
      <c r="Q16" s="798">
        <f>N16-F16</f>
        <v>2649871.5215090048</v>
      </c>
      <c r="R16" s="802">
        <f>O16/G16-1</f>
        <v>9.9096071166788091E-2</v>
      </c>
      <c r="S16" s="12"/>
      <c r="T16" s="13"/>
      <c r="U16" s="12"/>
      <c r="V16" s="165">
        <f>V15+1</f>
        <v>8</v>
      </c>
      <c r="W16" s="808" t="s">
        <v>132</v>
      </c>
      <c r="X16" s="650">
        <f>X14-X10</f>
        <v>2576756.5991441193</v>
      </c>
      <c r="Y16" s="650">
        <f>Y14-Y10</f>
        <v>4998445.2571030203</v>
      </c>
      <c r="Z16" s="650">
        <f>Z14-Z10</f>
        <v>9937088.2862379495</v>
      </c>
      <c r="AA16" s="650">
        <f>AA14-AA10</f>
        <v>17512290.14248509</v>
      </c>
      <c r="AB16" s="230"/>
      <c r="AC16" s="234"/>
      <c r="AD16" s="13"/>
      <c r="AE16" s="12"/>
      <c r="AF16" s="252">
        <f>AF15+1</f>
        <v>10</v>
      </c>
      <c r="AG16" s="814" t="s">
        <v>180</v>
      </c>
      <c r="AH16" s="815">
        <f>AH15*3600/$K$24</f>
        <v>3.0451184708403782</v>
      </c>
      <c r="AI16" s="815">
        <f>AI15*3600/$K$24</f>
        <v>0.15128923398834065</v>
      </c>
      <c r="AJ16" s="815">
        <f>AJ15*3600/$K$24</f>
        <v>0.96880969007169926</v>
      </c>
      <c r="AK16" s="12"/>
      <c r="AL16" s="299"/>
      <c r="AM16" s="12"/>
      <c r="AN16" s="192">
        <f>AN15+1</f>
        <v>11</v>
      </c>
      <c r="AO16" s="254"/>
      <c r="AP16" s="254"/>
      <c r="AQ16" s="804" t="s">
        <v>49</v>
      </c>
      <c r="AR16" s="797"/>
      <c r="AS16" s="827">
        <v>3443976.8344000001</v>
      </c>
      <c r="AT16" s="828">
        <v>0.33584033829171284</v>
      </c>
      <c r="AU16" s="829"/>
      <c r="AV16" s="827">
        <v>5716425.9886499979</v>
      </c>
      <c r="AW16" s="828">
        <v>0.52970164931322072</v>
      </c>
      <c r="AX16" s="830">
        <f>AW16/AT16-1</f>
        <v>0.57724248375762066</v>
      </c>
      <c r="AY16" s="829"/>
      <c r="AZ16" s="827">
        <v>7023487.4984412417</v>
      </c>
      <c r="BA16" s="828">
        <v>0.54439866027303074</v>
      </c>
      <c r="BB16" s="830">
        <f>BA16/AW16-1</f>
        <v>2.7745828201338085E-2</v>
      </c>
      <c r="BC16" s="829"/>
      <c r="BD16" s="827">
        <v>8390599.8471698686</v>
      </c>
      <c r="BE16" s="828">
        <v>0.57055201798647071</v>
      </c>
      <c r="BF16" s="830">
        <f>BE16/BA16-1</f>
        <v>4.8040819388356581E-2</v>
      </c>
      <c r="BG16" s="829"/>
      <c r="BH16" s="827">
        <v>9500186.8885000013</v>
      </c>
      <c r="BI16" s="828">
        <v>0.62515977885076657</v>
      </c>
      <c r="BJ16" s="830">
        <f>BI16/BE16-1</f>
        <v>9.5710398250822948E-2</v>
      </c>
      <c r="BK16" s="829"/>
      <c r="BL16" s="827">
        <v>10661854.069499999</v>
      </c>
      <c r="BM16" s="828">
        <v>0.63383023373989222</v>
      </c>
      <c r="BN16" s="830">
        <f>BM16/BI16-1</f>
        <v>1.386918221940725E-2</v>
      </c>
      <c r="BO16" s="829"/>
      <c r="BP16" s="827">
        <v>13069899.7289</v>
      </c>
      <c r="BQ16" s="828">
        <v>0.70465626418798799</v>
      </c>
      <c r="BR16" s="830">
        <f>BQ16/BM16-1</f>
        <v>0.11174290319063718</v>
      </c>
      <c r="BS16" s="829"/>
      <c r="BT16" s="796">
        <v>15592449</v>
      </c>
      <c r="BU16" s="796">
        <v>0.79</v>
      </c>
      <c r="BV16" s="796">
        <f>BU16/BQ16-1</f>
        <v>0.12111399578680837</v>
      </c>
      <c r="BW16" s="258">
        <v>21298745.488500003</v>
      </c>
      <c r="BX16" s="259">
        <v>1.100304672859262</v>
      </c>
      <c r="BY16" s="831">
        <f>BX16/BU16-1</f>
        <v>0.39279072513830626</v>
      </c>
      <c r="BZ16" s="831">
        <v>23700279.210100003</v>
      </c>
      <c r="CA16" s="831">
        <v>1.1618369851162706</v>
      </c>
      <c r="CB16" s="831">
        <f>CA16/BX16-1</f>
        <v>5.5922976403535829E-2</v>
      </c>
      <c r="CC16" s="956">
        <v>24697713.659500003</v>
      </c>
      <c r="CD16" s="956">
        <v>1.1883105657147701</v>
      </c>
      <c r="CE16" s="802">
        <f>CD16/CA16-1</f>
        <v>2.2785968201769924E-2</v>
      </c>
      <c r="CF16" s="798">
        <f>F17</f>
        <v>25788943.3565</v>
      </c>
      <c r="CG16" s="831">
        <f>G17</f>
        <v>1.2395108980715628</v>
      </c>
      <c r="CH16" s="802">
        <f>CG16/CD16-1</f>
        <v>4.30866591899699E-2</v>
      </c>
      <c r="CI16" s="832">
        <f>CF16/AS16-1</f>
        <v>6.4881291589735319</v>
      </c>
      <c r="CJ16" s="802">
        <f>(CI16+1)^(1/(2022-2004))-1</f>
        <v>0.11834627601791059</v>
      </c>
      <c r="CK16" s="12"/>
      <c r="CL16" s="13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3"/>
      <c r="CZ16" s="12"/>
      <c r="DA16" s="12"/>
      <c r="DB16" s="12"/>
      <c r="DC16" s="12"/>
      <c r="DD16" s="12"/>
      <c r="DE16" s="12"/>
      <c r="DF16" s="12"/>
      <c r="DG16" s="12"/>
      <c r="DH16" s="12"/>
      <c r="DI16" s="13"/>
      <c r="DJ16" s="12"/>
      <c r="DK16" s="12"/>
      <c r="DL16" s="12"/>
      <c r="DM16" s="12"/>
      <c r="DN16" s="12"/>
      <c r="DO16" s="12"/>
      <c r="DP16" s="12"/>
      <c r="DQ16" s="12"/>
      <c r="DR16" s="1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3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311"/>
      <c r="ER16" s="266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311"/>
      <c r="FH16" s="266"/>
      <c r="FI16" s="12"/>
      <c r="FJ16" s="192">
        <f>FJ15+1</f>
        <v>11</v>
      </c>
      <c r="FK16" s="265"/>
      <c r="FL16" s="878" t="s">
        <v>215</v>
      </c>
      <c r="FM16" s="860">
        <v>82960.8465</v>
      </c>
      <c r="FN16" s="860">
        <v>247179.69999999995</v>
      </c>
      <c r="FO16" s="860">
        <v>496871.88333999994</v>
      </c>
      <c r="FP16" s="801">
        <f>FM16+FO16+FN16</f>
        <v>827012.42983999988</v>
      </c>
      <c r="FQ16" s="860">
        <v>82980.54377272728</v>
      </c>
      <c r="FR16" s="860">
        <v>247179.69999999995</v>
      </c>
      <c r="FS16" s="860">
        <v>496871.88333999994</v>
      </c>
      <c r="FT16" s="860">
        <v>827032.12711272715</v>
      </c>
      <c r="FU16" s="955">
        <v>827032.12711272715</v>
      </c>
      <c r="FV16" s="16"/>
      <c r="FW16" s="266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3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3"/>
      <c r="GX16" s="12"/>
      <c r="GY16" s="12"/>
      <c r="GZ16" s="192">
        <v>11</v>
      </c>
      <c r="HA16" s="886">
        <v>11</v>
      </c>
      <c r="HB16" s="886">
        <v>10</v>
      </c>
      <c r="HC16" s="886">
        <v>10</v>
      </c>
      <c r="HD16" s="887">
        <v>81129366</v>
      </c>
      <c r="HE16" s="887">
        <v>83360260</v>
      </c>
      <c r="HF16" s="800">
        <f>HC16/HB16</f>
        <v>1</v>
      </c>
      <c r="HG16" s="800">
        <f>HE16/HD16</f>
        <v>1.0274979838989498</v>
      </c>
      <c r="HH16" s="802">
        <v>0</v>
      </c>
      <c r="HI16" s="802">
        <v>1</v>
      </c>
      <c r="HJ16" s="802">
        <v>0</v>
      </c>
      <c r="HK16" s="12"/>
      <c r="HL16" s="13"/>
      <c r="HM16" s="12"/>
      <c r="HN16" s="267">
        <v>11</v>
      </c>
      <c r="HO16" s="892">
        <v>11</v>
      </c>
      <c r="HP16" s="799">
        <f>HG16</f>
        <v>1.0274979838989498</v>
      </c>
      <c r="HQ16" s="860">
        <v>2581.4899999999998</v>
      </c>
      <c r="HR16" s="801">
        <f>HP16*HQ16</f>
        <v>2652.4757704552994</v>
      </c>
      <c r="HS16" s="860">
        <v>8836266</v>
      </c>
      <c r="HT16" s="975">
        <v>9087731</v>
      </c>
      <c r="HU16" s="860">
        <v>3929506.6488000001</v>
      </c>
      <c r="HV16" s="975">
        <v>4562596</v>
      </c>
      <c r="HW16" s="860">
        <v>225000</v>
      </c>
      <c r="HX16" s="955">
        <v>225000</v>
      </c>
      <c r="HY16" s="860">
        <f>SUM(HQ16,HU16,HW16)</f>
        <v>4157088.1388000003</v>
      </c>
      <c r="HZ16" s="860">
        <f>SUM(HR16,HV16,HX16)</f>
        <v>4790248.4757704549</v>
      </c>
      <c r="IA16" s="206"/>
      <c r="IB16" s="207"/>
      <c r="IC16" s="206"/>
      <c r="ID16" s="208">
        <v>11</v>
      </c>
      <c r="IE16" s="892">
        <v>11</v>
      </c>
      <c r="IF16" s="896">
        <f>HF16</f>
        <v>1</v>
      </c>
      <c r="IG16" s="897">
        <f>HG16</f>
        <v>1.0274979838989498</v>
      </c>
      <c r="IH16" s="955">
        <v>1423641.7045909851</v>
      </c>
      <c r="II16" s="801">
        <f>IH16*$IG16</f>
        <v>1462788.9812617013</v>
      </c>
      <c r="IJ16" s="955">
        <v>82670.929999999993</v>
      </c>
      <c r="IK16" s="801">
        <f>IJ16*$IG16</f>
        <v>84944.213902051197</v>
      </c>
      <c r="IL16" s="955">
        <v>693581.72540901485</v>
      </c>
      <c r="IM16" s="801">
        <f>IL16*IF16</f>
        <v>693581.72540901485</v>
      </c>
      <c r="IN16" s="955">
        <v>1097311.9781036684</v>
      </c>
      <c r="IO16" s="995">
        <v>1097311.9781036684</v>
      </c>
      <c r="IP16" s="955">
        <v>115389.88249999999</v>
      </c>
      <c r="IQ16" s="801">
        <f>IP16*$IG16</f>
        <v>118562.8716310867</v>
      </c>
      <c r="IR16" s="955">
        <v>62157.794999999998</v>
      </c>
      <c r="IS16" s="801">
        <f>IR16*$IG16</f>
        <v>63867.00904610422</v>
      </c>
      <c r="IT16" s="955">
        <v>135787.78999999998</v>
      </c>
      <c r="IU16" s="801">
        <f>IT16*$IG16</f>
        <v>139521.68046309394</v>
      </c>
      <c r="IV16" s="955">
        <v>373475.82789999997</v>
      </c>
      <c r="IW16" s="801">
        <f>IV16*$IG16</f>
        <v>383745.6602022411</v>
      </c>
      <c r="IX16" s="860">
        <f>IH16+IJ16+IL16+IN16+IP16+IT16+IV16+IR16</f>
        <v>3984017.633503668</v>
      </c>
      <c r="IY16" s="860">
        <f>II16+IK16+IM16+IO16+IQ16+IU16+IW16+IS16</f>
        <v>4044324.1200189614</v>
      </c>
      <c r="IZ16" s="898">
        <f>IY16/HE16*100</f>
        <v>4.8516212881521259</v>
      </c>
      <c r="JA16" s="12"/>
      <c r="JB16" s="13"/>
      <c r="JC16" s="12"/>
      <c r="JD16" s="192">
        <v>11</v>
      </c>
      <c r="JE16" s="886">
        <v>11</v>
      </c>
      <c r="JF16" s="796">
        <f>HC16</f>
        <v>10</v>
      </c>
      <c r="JG16" s="796">
        <f>JF16</f>
        <v>10</v>
      </c>
      <c r="JH16" s="859">
        <f>HE16</f>
        <v>83360260</v>
      </c>
      <c r="JI16" s="859">
        <f>JH16*$JK$26</f>
        <v>83454954.080289945</v>
      </c>
      <c r="JJ16" s="904">
        <f>JG16/JF16</f>
        <v>1</v>
      </c>
      <c r="JK16" s="904">
        <f>JI16/JH16</f>
        <v>1.0011359619114666</v>
      </c>
      <c r="JL16" s="904">
        <f>LC17/LB17</f>
        <v>1.0447079555742043</v>
      </c>
      <c r="JM16" s="886" t="s">
        <v>425</v>
      </c>
      <c r="JN16" s="209"/>
      <c r="JO16" s="210"/>
      <c r="JP16" s="209"/>
      <c r="JQ16" s="192">
        <v>11</v>
      </c>
      <c r="JR16" s="886">
        <v>11</v>
      </c>
      <c r="JS16" s="910" t="str">
        <f>JM16</f>
        <v>Q2</v>
      </c>
      <c r="JT16" s="911">
        <f>JL16</f>
        <v>1.0447079555742043</v>
      </c>
      <c r="JU16" s="860">
        <f>HR16</f>
        <v>2652.4757704552994</v>
      </c>
      <c r="JV16" s="860">
        <f>JU16*JL16</f>
        <v>2771.0625393624682</v>
      </c>
      <c r="JW16" s="860">
        <f>HT16</f>
        <v>9087731</v>
      </c>
      <c r="JX16" s="860">
        <f>HE16/$HE$26*$JX$26</f>
        <v>9209855.4026870131</v>
      </c>
      <c r="JY16" s="860">
        <f>HV16</f>
        <v>4562596</v>
      </c>
      <c r="JZ16" s="860">
        <f>HE16/$HE$26*$JZ$26</f>
        <v>4134481.1424756171</v>
      </c>
      <c r="KA16" s="860">
        <f>HX16</f>
        <v>225000</v>
      </c>
      <c r="KB16" s="860">
        <f>HE16/$HE$26*$KB$26</f>
        <v>180453.47912141916</v>
      </c>
      <c r="KC16" s="860">
        <f>SUM(JU16,JY16,KA16)</f>
        <v>4790248.4757704549</v>
      </c>
      <c r="KD16" s="860">
        <f>SUM(JV16,JZ16,KB16)</f>
        <v>4317705.6841363991</v>
      </c>
      <c r="KE16" s="211"/>
      <c r="KF16" s="210"/>
      <c r="KG16" s="209"/>
      <c r="KH16" s="243">
        <f>KH15+1</f>
        <v>11</v>
      </c>
      <c r="KI16" s="891">
        <v>10</v>
      </c>
      <c r="KJ16" s="920">
        <f>JJ15</f>
        <v>1</v>
      </c>
      <c r="KK16" s="920">
        <f>JK15</f>
        <v>1.0011359619114666</v>
      </c>
      <c r="KL16" s="683">
        <v>1.6626666699999999</v>
      </c>
      <c r="KM16" s="794">
        <f>II15*KM$6/KL16*JK15</f>
        <v>925048.88449945254</v>
      </c>
      <c r="KN16" s="683">
        <v>1.6626666699999999</v>
      </c>
      <c r="KO16" s="794">
        <f>IK15*KO$6/KN16*KK16</f>
        <v>59023.053909371512</v>
      </c>
      <c r="KP16" s="683">
        <v>1.6626666699999999</v>
      </c>
      <c r="KQ16" s="794">
        <f>IM15*KQ$6/KP16*KJ16</f>
        <v>532193.31990377733</v>
      </c>
      <c r="KR16" s="683">
        <v>1.6626666699999999</v>
      </c>
      <c r="KS16" s="794">
        <f>IO15*KS$6/KR16*KJ16</f>
        <v>803651.89921727066</v>
      </c>
      <c r="KT16" s="683">
        <v>1.6626666699999999</v>
      </c>
      <c r="KU16" s="794">
        <f>IQ15*KU$6/KT16*KK16</f>
        <v>80033.317740542334</v>
      </c>
      <c r="KV16" s="683">
        <v>1.6626666699999999</v>
      </c>
      <c r="KW16" s="794">
        <f>IS15*KW$6/KV16*KK16</f>
        <v>59963.467241773316</v>
      </c>
      <c r="KX16" s="683">
        <v>1.6626666699999999</v>
      </c>
      <c r="KY16" s="794">
        <f>IU15*KY$6/KX16*$KK16</f>
        <v>140972.05865324161</v>
      </c>
      <c r="KZ16" s="683">
        <v>1.6626666699999999</v>
      </c>
      <c r="LA16" s="794">
        <f>IW15*LA$6/KZ16*$KK16</f>
        <v>356838.02753519116</v>
      </c>
      <c r="LB16" s="650">
        <f>IY15</f>
        <v>2869142.2123376648</v>
      </c>
      <c r="LC16" s="650">
        <f>KM16+KO16+KQ16+KS16+KU16+KY16+LA16+KW16</f>
        <v>2957724.0287006204</v>
      </c>
      <c r="LD16" s="16"/>
      <c r="LE16" s="220"/>
      <c r="LF16" s="12"/>
      <c r="LG16" s="192">
        <v>11</v>
      </c>
      <c r="LH16" s="921">
        <v>11</v>
      </c>
      <c r="LI16" s="860">
        <f>HY16</f>
        <v>4157088.1388000003</v>
      </c>
      <c r="LJ16" s="860">
        <f>HZ16</f>
        <v>4790248.4757704549</v>
      </c>
      <c r="LK16" s="801">
        <f>KD16</f>
        <v>4317705.6841363991</v>
      </c>
      <c r="LL16" s="860">
        <f>IX16</f>
        <v>3984017.633503668</v>
      </c>
      <c r="LM16" s="860">
        <f>IY16</f>
        <v>4044324.1200189614</v>
      </c>
      <c r="LN16" s="801">
        <f>LC17</f>
        <v>4225137.5831044521</v>
      </c>
      <c r="LO16" s="860">
        <f>LI16-LL16</f>
        <v>173070.5052963323</v>
      </c>
      <c r="LP16" s="860">
        <f>LJ16-LM16</f>
        <v>745924.35575149348</v>
      </c>
      <c r="LQ16" s="860">
        <f>LK16-LN16</f>
        <v>92568.10103194695</v>
      </c>
      <c r="LR16" s="12"/>
      <c r="LS16" s="13"/>
      <c r="LT16" s="12"/>
      <c r="LU16" s="12"/>
      <c r="LV16" s="12"/>
      <c r="LW16" s="12"/>
      <c r="LX16" s="12"/>
      <c r="LY16" s="13"/>
      <c r="LZ16" s="12"/>
      <c r="MA16" s="222">
        <f>MA15+1</f>
        <v>10</v>
      </c>
      <c r="MB16" s="812" t="s">
        <v>48</v>
      </c>
      <c r="MC16" s="650">
        <f>N16</f>
        <v>19173425.776259005</v>
      </c>
      <c r="MD16" s="747">
        <f>MC16/$MC$34*100</f>
        <v>0.87288278313221068</v>
      </c>
      <c r="ME16" s="660"/>
      <c r="MF16" s="792">
        <f>MC16</f>
        <v>19173425.776259005</v>
      </c>
      <c r="MG16" s="747">
        <f>MF16/$MG$34*100</f>
        <v>0.87288278313221068</v>
      </c>
      <c r="MH16" s="12"/>
      <c r="MI16" s="13"/>
      <c r="MJ16" s="12"/>
      <c r="MK16" s="222">
        <f>MK15+1</f>
        <v>10</v>
      </c>
      <c r="ML16" s="231" t="str">
        <f>MB16</f>
        <v>Overhead Labour</v>
      </c>
      <c r="MM16" s="979">
        <v>15711197.861928774</v>
      </c>
      <c r="MN16" s="650">
        <f>MC16</f>
        <v>19173425.776259005</v>
      </c>
      <c r="MO16" s="650">
        <f>MN16-MM16</f>
        <v>3462227.914330231</v>
      </c>
      <c r="MP16" s="823">
        <f>MO16/MM16</f>
        <v>0.22036689657635011</v>
      </c>
      <c r="MQ16" s="12"/>
      <c r="MR16" s="13"/>
      <c r="MS16" s="12"/>
    </row>
    <row r="17" spans="1:357" ht="16.5" x14ac:dyDescent="0.3">
      <c r="B17" s="143">
        <f>B16+1</f>
        <v>12</v>
      </c>
      <c r="C17" s="223"/>
      <c r="D17" s="660" t="s">
        <v>49</v>
      </c>
      <c r="E17" s="791"/>
      <c r="F17" s="792">
        <f>DY12</f>
        <v>25788943.3565</v>
      </c>
      <c r="G17" s="793">
        <f>F17/F$24*100</f>
        <v>1.2395108980715628</v>
      </c>
      <c r="H17" s="792">
        <f>EC12</f>
        <v>23103829.087177198</v>
      </c>
      <c r="I17" s="724">
        <f>H17/H$24*100</f>
        <v>1.1046374332144782</v>
      </c>
      <c r="J17" s="794">
        <f>H17-F17</f>
        <v>-2685114.2693228014</v>
      </c>
      <c r="K17" s="792">
        <f>IO26</f>
        <v>24327750.680698965</v>
      </c>
      <c r="L17" s="724">
        <f>K17/K$24*100</f>
        <v>1.1087949244366184</v>
      </c>
      <c r="M17" s="794">
        <f>K17-H17</f>
        <v>1223921.5935217664</v>
      </c>
      <c r="N17" s="792">
        <f>KS27</f>
        <v>25073716.728897151</v>
      </c>
      <c r="O17" s="724">
        <f>N17/N$24*100</f>
        <v>1.141497398388174</v>
      </c>
      <c r="P17" s="794">
        <f>N17-K17</f>
        <v>745966.04819818586</v>
      </c>
      <c r="Q17" s="792">
        <f>N17-F17</f>
        <v>-715226.62760284916</v>
      </c>
      <c r="R17" s="723">
        <f>O17/G17-1</f>
        <v>-7.9074334752424313E-2</v>
      </c>
      <c r="V17" s="185"/>
      <c r="W17" s="186" t="s">
        <v>26</v>
      </c>
      <c r="X17" s="269"/>
      <c r="Y17" s="270"/>
      <c r="Z17" s="270"/>
      <c r="AA17" s="270"/>
      <c r="AB17" s="230" t="s">
        <v>430</v>
      </c>
      <c r="AC17" s="236"/>
      <c r="AF17" s="271">
        <f>AF16+1</f>
        <v>11</v>
      </c>
      <c r="AG17" s="816" t="s">
        <v>187</v>
      </c>
      <c r="AH17" s="818">
        <f>II26/AH15</f>
        <v>20.884539615581581</v>
      </c>
      <c r="AI17" s="818">
        <f>IK26/AI15</f>
        <v>20.908056285798974</v>
      </c>
      <c r="AJ17" s="818">
        <f>IM26/AJ15</f>
        <v>31.509468342655907</v>
      </c>
      <c r="AL17" s="299"/>
      <c r="AN17" s="222">
        <f>AN16+1</f>
        <v>12</v>
      </c>
      <c r="AO17" s="18"/>
      <c r="AQ17" s="660" t="s">
        <v>216</v>
      </c>
      <c r="AR17" s="791"/>
      <c r="AS17" s="821">
        <v>1216501.406</v>
      </c>
      <c r="AT17" s="822">
        <v>0.11862746567938538</v>
      </c>
      <c r="AU17" s="783"/>
      <c r="AV17" s="821">
        <v>2361150.2250000001</v>
      </c>
      <c r="AW17" s="822">
        <v>0.2187914565748014</v>
      </c>
      <c r="AX17" s="823">
        <f>AW17/AT17-1</f>
        <v>0.84435750457764458</v>
      </c>
      <c r="AY17" s="783"/>
      <c r="AZ17" s="821">
        <v>2483160.2930935998</v>
      </c>
      <c r="BA17" s="822">
        <v>0.19247263373122833</v>
      </c>
      <c r="BB17" s="823">
        <f>BA17/AW17-1</f>
        <v>-0.12029182151623485</v>
      </c>
      <c r="BC17" s="783"/>
      <c r="BD17" s="821">
        <v>3556357.1057280144</v>
      </c>
      <c r="BE17" s="822">
        <v>0.24182856533648778</v>
      </c>
      <c r="BF17" s="823">
        <f>BE17/BA17-1</f>
        <v>0.25643090473932428</v>
      </c>
      <c r="BG17" s="783"/>
      <c r="BH17" s="821">
        <v>3747904.7313999999</v>
      </c>
      <c r="BI17" s="822">
        <v>0.24663086321723002</v>
      </c>
      <c r="BJ17" s="823">
        <f>BI17/BE17-1</f>
        <v>1.9858273872898957E-2</v>
      </c>
      <c r="BK17" s="783"/>
      <c r="BL17" s="821">
        <v>4022436.6702577379</v>
      </c>
      <c r="BM17" s="822">
        <v>0.23912744990636886</v>
      </c>
      <c r="BN17" s="823">
        <f>BM17/BI17-1</f>
        <v>-3.0423659119468094E-2</v>
      </c>
      <c r="BO17" s="783"/>
      <c r="BP17" s="813">
        <v>5745533.5202000001</v>
      </c>
      <c r="BQ17" s="822">
        <v>0.30976719562421123</v>
      </c>
      <c r="BR17" s="823">
        <f>BQ17/BM17-1</f>
        <v>0.29540626032478334</v>
      </c>
      <c r="BS17" s="783"/>
      <c r="BT17" s="660">
        <v>6723403</v>
      </c>
      <c r="BU17" s="660">
        <v>0.34</v>
      </c>
      <c r="BV17" s="660">
        <f>BU17/BQ17-1</f>
        <v>9.759847008611322E-2</v>
      </c>
      <c r="BW17" s="237">
        <v>7155288.9644999998</v>
      </c>
      <c r="BX17" s="238">
        <v>0.36964608490901918</v>
      </c>
      <c r="BY17" s="824">
        <f>BX17/BU17-1</f>
        <v>8.7194367379468174E-2</v>
      </c>
      <c r="BZ17" s="824">
        <v>8029824.328999999</v>
      </c>
      <c r="CA17" s="824">
        <v>0.39363869120338835</v>
      </c>
      <c r="CB17" s="824">
        <f>CA17/BX17-1</f>
        <v>6.4906967160965445E-2</v>
      </c>
      <c r="CC17" s="956">
        <v>8459101.3855000008</v>
      </c>
      <c r="CD17" s="956">
        <v>0.40700283805321286</v>
      </c>
      <c r="CE17" s="723">
        <f>CD17/CA17-1</f>
        <v>3.395028778540321E-2</v>
      </c>
      <c r="CF17" s="792">
        <f>F18+F19</f>
        <v>9697049.3831640016</v>
      </c>
      <c r="CG17" s="824">
        <f>G18+G19</f>
        <v>0.46607564425629766</v>
      </c>
      <c r="CH17" s="723">
        <f>CG17/CD17-1</f>
        <v>0.14514101789963796</v>
      </c>
      <c r="CI17" s="825">
        <f>CF17/AS17-1</f>
        <v>6.9712603169519083</v>
      </c>
      <c r="CJ17" s="723">
        <f>(CI17+1)^(1/(2022-2004))-1</f>
        <v>0.12223764513536595</v>
      </c>
      <c r="DA17" s="287"/>
      <c r="DD17" s="12"/>
      <c r="DN17" s="12"/>
      <c r="DU17" s="12"/>
      <c r="DV17" s="12"/>
      <c r="DW17" s="12"/>
      <c r="DX17" s="12"/>
      <c r="DY17" s="12"/>
      <c r="ER17" s="266"/>
      <c r="FH17" s="266"/>
      <c r="FJ17" s="222">
        <f>FJ16+1</f>
        <v>12</v>
      </c>
      <c r="FK17" s="242"/>
      <c r="FL17" s="877" t="s">
        <v>217</v>
      </c>
      <c r="FM17" s="650">
        <v>71670.960000000006</v>
      </c>
      <c r="FN17" s="650">
        <v>145385.94</v>
      </c>
      <c r="FO17" s="650">
        <v>289455.99114000006</v>
      </c>
      <c r="FP17" s="794">
        <f>FM17+FO17+FN17</f>
        <v>506512.89114000008</v>
      </c>
      <c r="FQ17" s="650">
        <v>72769.460000000006</v>
      </c>
      <c r="FR17" s="650">
        <v>145385.94</v>
      </c>
      <c r="FS17" s="650">
        <v>299604.49114000006</v>
      </c>
      <c r="FT17" s="650">
        <v>517759.89114000008</v>
      </c>
      <c r="FU17" s="955">
        <v>517759.89114000008</v>
      </c>
      <c r="FV17" s="16"/>
      <c r="FW17" s="266"/>
      <c r="GZ17" s="222">
        <v>12</v>
      </c>
      <c r="HA17" s="663">
        <v>12</v>
      </c>
      <c r="HB17" s="999">
        <v>10</v>
      </c>
      <c r="HC17" s="999">
        <v>11</v>
      </c>
      <c r="HD17" s="682">
        <v>93723945</v>
      </c>
      <c r="HE17" s="682">
        <v>102676361</v>
      </c>
      <c r="HF17" s="724">
        <f>HC17/HB17</f>
        <v>1.1000000000000001</v>
      </c>
      <c r="HG17" s="724">
        <f>HE17/HD17</f>
        <v>1.0955189839693582</v>
      </c>
      <c r="HH17" s="723">
        <v>0</v>
      </c>
      <c r="HI17" s="723">
        <v>1</v>
      </c>
      <c r="HJ17" s="723">
        <v>0</v>
      </c>
      <c r="HN17" s="243">
        <v>12</v>
      </c>
      <c r="HO17" s="891">
        <v>12</v>
      </c>
      <c r="HP17" s="793">
        <f>HG17</f>
        <v>1.0955189839693582</v>
      </c>
      <c r="HQ17" s="650">
        <v>2130.3900000000003</v>
      </c>
      <c r="HR17" s="794">
        <f>HP17*HQ17</f>
        <v>2333.8826882584813</v>
      </c>
      <c r="HS17" s="650">
        <v>10172010</v>
      </c>
      <c r="HT17" s="975">
        <v>11151822</v>
      </c>
      <c r="HU17" s="650">
        <v>4623167.0237000007</v>
      </c>
      <c r="HV17" s="975">
        <v>5554330</v>
      </c>
      <c r="HW17" s="650">
        <v>225000</v>
      </c>
      <c r="HX17" s="955">
        <v>247500</v>
      </c>
      <c r="HY17" s="650">
        <f>SUM(HQ17,HU17,HW17)</f>
        <v>4850297.4137000004</v>
      </c>
      <c r="HZ17" s="650">
        <f>SUM(HR17,HV17,HX17)</f>
        <v>5804163.8826882588</v>
      </c>
      <c r="IA17" s="206"/>
      <c r="IB17" s="207"/>
      <c r="IC17" s="206"/>
      <c r="ID17" s="244">
        <v>12</v>
      </c>
      <c r="IE17" s="891">
        <v>12</v>
      </c>
      <c r="IF17" s="899">
        <f>HF17</f>
        <v>1.1000000000000001</v>
      </c>
      <c r="IG17" s="900">
        <f>HG17</f>
        <v>1.0955189839693582</v>
      </c>
      <c r="IH17" s="955">
        <v>1443100.8181646655</v>
      </c>
      <c r="II17" s="794">
        <f>IH17*$IG17</f>
        <v>1580944.3420811039</v>
      </c>
      <c r="IJ17" s="955">
        <v>92334.995999999999</v>
      </c>
      <c r="IK17" s="794">
        <f>IJ17*$IG17</f>
        <v>101154.74100273475</v>
      </c>
      <c r="IL17" s="955">
        <v>908913.26583533478</v>
      </c>
      <c r="IM17" s="794">
        <f>IL17*IF17</f>
        <v>999804.59241886833</v>
      </c>
      <c r="IN17" s="955">
        <v>1011478.181640237</v>
      </c>
      <c r="IO17" s="995">
        <v>1058208.4193069371</v>
      </c>
      <c r="IP17" s="955">
        <v>90683.825499999977</v>
      </c>
      <c r="IQ17" s="794">
        <f>IP17*$IG17</f>
        <v>99345.852374214548</v>
      </c>
      <c r="IR17" s="955">
        <v>80296.399749999982</v>
      </c>
      <c r="IS17" s="794">
        <f>IR17*$IG17</f>
        <v>87966.230270517408</v>
      </c>
      <c r="IT17" s="955">
        <v>143266.49</v>
      </c>
      <c r="IU17" s="794">
        <f>IT17*$IG17</f>
        <v>156951.15956165621</v>
      </c>
      <c r="IV17" s="955">
        <v>581779.38425</v>
      </c>
      <c r="IW17" s="794">
        <f>IV17*$IG17</f>
        <v>637350.35992787883</v>
      </c>
      <c r="IX17" s="650">
        <f>IH17+IJ17+IL17+IN17+IP17+IT17+IV17+IR17</f>
        <v>4351853.3611402372</v>
      </c>
      <c r="IY17" s="650">
        <f>II17+IK17+IM17+IO17+IQ17+IU17+IW17+IS17</f>
        <v>4721725.6969439117</v>
      </c>
      <c r="IZ17" s="683">
        <f>IY17/HE17*100</f>
        <v>4.5986492421015113</v>
      </c>
      <c r="JD17" s="222">
        <v>12</v>
      </c>
      <c r="JE17" s="663">
        <v>12</v>
      </c>
      <c r="JF17" s="660">
        <f>HC17</f>
        <v>11</v>
      </c>
      <c r="JG17" s="660">
        <f>JF17</f>
        <v>11</v>
      </c>
      <c r="JH17" s="905">
        <f>HE17</f>
        <v>102676361</v>
      </c>
      <c r="JI17" s="905">
        <f>JH17*$JK$26</f>
        <v>102792997.43530399</v>
      </c>
      <c r="JJ17" s="906">
        <f>JG17/JF17</f>
        <v>1</v>
      </c>
      <c r="JK17" s="906">
        <f>JI17/JH17</f>
        <v>1.0011359619114666</v>
      </c>
      <c r="JL17" s="906">
        <f>LC18/LB18</f>
        <v>1.0308927755083914</v>
      </c>
      <c r="JM17" s="663" t="s">
        <v>238</v>
      </c>
      <c r="JN17" s="209"/>
      <c r="JO17" s="210"/>
      <c r="JP17" s="209"/>
      <c r="JQ17" s="222">
        <v>12</v>
      </c>
      <c r="JR17" s="663">
        <v>12</v>
      </c>
      <c r="JS17" s="914" t="str">
        <f>JM17</f>
        <v>Q3</v>
      </c>
      <c r="JT17" s="913">
        <f>JL17</f>
        <v>1.0308927755083914</v>
      </c>
      <c r="JU17" s="671">
        <f>HR17</f>
        <v>2333.8826882584813</v>
      </c>
      <c r="JV17" s="671">
        <f>JU17*JL17</f>
        <v>2405.9828022097718</v>
      </c>
      <c r="JW17" s="671">
        <f>HT17</f>
        <v>11151822</v>
      </c>
      <c r="JX17" s="671">
        <f>HE17/$HE$26*$JX$26</f>
        <v>11343947.800595777</v>
      </c>
      <c r="JY17" s="671">
        <f>HV17</f>
        <v>5554330</v>
      </c>
      <c r="JZ17" s="671">
        <f>HE17/$HE$26*$JZ$26</f>
        <v>5092516.2461407743</v>
      </c>
      <c r="KA17" s="671">
        <f>HX17</f>
        <v>247500</v>
      </c>
      <c r="KB17" s="671">
        <f>HE17/$HE$26*$KB$26</f>
        <v>222267.8596009273</v>
      </c>
      <c r="KC17" s="671">
        <f>SUM(JU17,JY17,KA17)</f>
        <v>5804163.8826882588</v>
      </c>
      <c r="KD17" s="671">
        <f>SUM(JV17,JZ17,KB17)</f>
        <v>5317190.0885439115</v>
      </c>
      <c r="KE17" s="211"/>
      <c r="KF17" s="210"/>
      <c r="KG17" s="209"/>
      <c r="KH17" s="245">
        <f>KH16+1</f>
        <v>12</v>
      </c>
      <c r="KI17" s="917">
        <v>11</v>
      </c>
      <c r="KJ17" s="918">
        <f>JJ16</f>
        <v>1</v>
      </c>
      <c r="KK17" s="918">
        <f>JK16</f>
        <v>1.0011359619114666</v>
      </c>
      <c r="KL17" s="898">
        <v>1.6406666700000001</v>
      </c>
      <c r="KM17" s="801">
        <f>II16*KM$6/KL17*JK16</f>
        <v>1528955.512778454</v>
      </c>
      <c r="KN17" s="898">
        <v>1.6406666700000001</v>
      </c>
      <c r="KO17" s="801">
        <f>IK16*KO$6/KN17*KK17</f>
        <v>88786.506999903242</v>
      </c>
      <c r="KP17" s="898">
        <v>1.6406666700000001</v>
      </c>
      <c r="KQ17" s="801">
        <f>IM16*KQ$6/KP17*KJ17</f>
        <v>724132.01486431516</v>
      </c>
      <c r="KR17" s="898">
        <v>1.6406666700000001</v>
      </c>
      <c r="KS17" s="801">
        <f>IO16*KS$6/KR17*KJ17</f>
        <v>1145645.4294126201</v>
      </c>
      <c r="KT17" s="898">
        <v>1.6406666700000001</v>
      </c>
      <c r="KU17" s="801">
        <f>IQ16*KU$6/KT17*KK17</f>
        <v>123925.8420136832</v>
      </c>
      <c r="KV17" s="898">
        <v>1.6406666700000001</v>
      </c>
      <c r="KW17" s="801">
        <f>IS16*KW$6/KV17*KK17</f>
        <v>66755.914090552164</v>
      </c>
      <c r="KX17" s="898">
        <v>1.6406666700000001</v>
      </c>
      <c r="KY17" s="801">
        <f>IU16*KY$6/KX17*$KK17</f>
        <v>145832.68347575612</v>
      </c>
      <c r="KZ17" s="898">
        <v>1.6406666700000001</v>
      </c>
      <c r="LA17" s="919">
        <f>IW16*LA$6/KZ17*$KK17</f>
        <v>401103.67946916772</v>
      </c>
      <c r="LB17" s="646">
        <f>IY16</f>
        <v>4044324.1200189614</v>
      </c>
      <c r="LC17" s="646">
        <f>KM17+KO17+KQ17+KS17+KU17+KY17+LA17+KW17</f>
        <v>4225137.5831044521</v>
      </c>
      <c r="LD17" s="16"/>
      <c r="LE17" s="220"/>
      <c r="LG17" s="222">
        <v>12</v>
      </c>
      <c r="LH17" s="922">
        <v>12</v>
      </c>
      <c r="LI17" s="650">
        <f>HY17</f>
        <v>4850297.4137000004</v>
      </c>
      <c r="LJ17" s="650">
        <f>HZ17</f>
        <v>5804163.8826882588</v>
      </c>
      <c r="LK17" s="794">
        <f>KD17</f>
        <v>5317190.0885439115</v>
      </c>
      <c r="LL17" s="650">
        <f>IX17</f>
        <v>4351853.3611402372</v>
      </c>
      <c r="LM17" s="650">
        <f>IY17</f>
        <v>4721725.6969439117</v>
      </c>
      <c r="LN17" s="794">
        <f>LC18</f>
        <v>4867592.9089118028</v>
      </c>
      <c r="LO17" s="650">
        <f>LI17-LL17</f>
        <v>498444.05255976319</v>
      </c>
      <c r="LP17" s="650">
        <f>LJ17-LM17</f>
        <v>1082438.1857443471</v>
      </c>
      <c r="LQ17" s="650">
        <f>LK17-LN17</f>
        <v>449597.17963210866</v>
      </c>
      <c r="MA17" s="192">
        <f>MA16+1</f>
        <v>11</v>
      </c>
      <c r="MB17" s="814" t="s">
        <v>49</v>
      </c>
      <c r="MC17" s="860">
        <f>N17</f>
        <v>25073716.728897151</v>
      </c>
      <c r="MD17" s="928">
        <f>MC17/$MC$34*100</f>
        <v>1.141497398388174</v>
      </c>
      <c r="ME17" s="796"/>
      <c r="MF17" s="798">
        <f>MC17</f>
        <v>25073716.728897151</v>
      </c>
      <c r="MG17" s="928">
        <f>MF17/$MG$34*100</f>
        <v>1.141497398388174</v>
      </c>
      <c r="MK17" s="192">
        <f>MK16+1</f>
        <v>11</v>
      </c>
      <c r="ML17" s="253" t="str">
        <f>MB17</f>
        <v>Building</v>
      </c>
      <c r="MM17" s="979">
        <v>22755368.059679482</v>
      </c>
      <c r="MN17" s="860">
        <f>MC17</f>
        <v>25073716.728897151</v>
      </c>
      <c r="MO17" s="860">
        <f>MN17-MM17</f>
        <v>2318348.6692176685</v>
      </c>
      <c r="MP17" s="802">
        <f>MO17/MM17</f>
        <v>0.10188139621110234</v>
      </c>
    </row>
    <row r="18" spans="1:357" s="29" customFormat="1" ht="16.5" x14ac:dyDescent="0.3">
      <c r="B18" s="181">
        <f>B17+1</f>
        <v>13</v>
      </c>
      <c r="C18" s="251"/>
      <c r="D18" s="796" t="s">
        <v>52</v>
      </c>
      <c r="E18" s="797"/>
      <c r="F18" s="798">
        <f>EL9</f>
        <v>5900402.2061640006</v>
      </c>
      <c r="G18" s="799">
        <f>F18/F$24*100</f>
        <v>0.28359490097923706</v>
      </c>
      <c r="H18" s="798">
        <f>EP9</f>
        <v>5942658.5173137691</v>
      </c>
      <c r="I18" s="800">
        <f>H18/H$24*100</f>
        <v>0.28412965774054211</v>
      </c>
      <c r="J18" s="801">
        <f>H18-F18</f>
        <v>42256.311149768531</v>
      </c>
      <c r="K18" s="798">
        <f>IU26</f>
        <v>6168270.1152246939</v>
      </c>
      <c r="L18" s="800">
        <f>K18/K$24*100</f>
        <v>0.28113353700806315</v>
      </c>
      <c r="M18" s="801">
        <f>K18-H18</f>
        <v>225611.59791092481</v>
      </c>
      <c r="N18" s="798">
        <f>KY27</f>
        <v>6377885.8178472156</v>
      </c>
      <c r="O18" s="800">
        <f>N18/N$24*100</f>
        <v>0.29035743471963715</v>
      </c>
      <c r="P18" s="801">
        <f>N18-K18</f>
        <v>209615.70262252167</v>
      </c>
      <c r="Q18" s="798">
        <f>N18-F18</f>
        <v>477483.61168321501</v>
      </c>
      <c r="R18" s="802">
        <f>O18/G18-1</f>
        <v>2.3845752222799055E-2</v>
      </c>
      <c r="S18" s="12"/>
      <c r="T18" s="13"/>
      <c r="U18" s="12"/>
      <c r="V18" s="165">
        <f>V16+1</f>
        <v>9</v>
      </c>
      <c r="W18" s="805" t="s">
        <v>172</v>
      </c>
      <c r="X18" s="650">
        <f>SUMPRODUCT($LQ$6:$LQ$25,HH6:HH25)</f>
        <v>-3805708.0390484673</v>
      </c>
      <c r="Y18" s="650">
        <f>SUMPRODUCT($LQ$6:$LQ$25,HI6:HI25)</f>
        <v>883166.97414910654</v>
      </c>
      <c r="Z18" s="650">
        <f>SUMPRODUCT($LQ$6:$LQ$25,HJ6:HJ25)</f>
        <v>6871373.8942909054</v>
      </c>
      <c r="AA18" s="650">
        <f>SUM(X18:Z18)</f>
        <v>3948832.8293915447</v>
      </c>
      <c r="AB18" s="230"/>
      <c r="AC18" s="12"/>
      <c r="AD18" s="13"/>
      <c r="AE18" s="12"/>
      <c r="AF18" s="252">
        <f>AF17+1</f>
        <v>12</v>
      </c>
      <c r="AG18" s="191" t="s">
        <v>26</v>
      </c>
      <c r="AK18" s="12"/>
      <c r="AL18" s="299"/>
      <c r="AM18" s="12"/>
      <c r="AN18" s="312">
        <f>AN17+1</f>
        <v>13</v>
      </c>
      <c r="AO18" s="313"/>
      <c r="AP18" s="314"/>
      <c r="AQ18" s="843" t="s">
        <v>53</v>
      </c>
      <c r="AR18" s="844"/>
      <c r="AS18" s="845">
        <v>5928822.8260000004</v>
      </c>
      <c r="AT18" s="846">
        <v>0.57815077141840288</v>
      </c>
      <c r="AU18" s="847"/>
      <c r="AV18" s="845">
        <v>3792013.7597000003</v>
      </c>
      <c r="AW18" s="846">
        <v>0.35137968141626907</v>
      </c>
      <c r="AX18" s="848">
        <f>AW18/AT18-1</f>
        <v>-0.39223521132002692</v>
      </c>
      <c r="AY18" s="847"/>
      <c r="AZ18" s="845">
        <v>5238845.7033359464</v>
      </c>
      <c r="BA18" s="846">
        <v>0.40606900530629209</v>
      </c>
      <c r="BB18" s="848">
        <f>BA18/AW18-1</f>
        <v>0.15564167987628807</v>
      </c>
      <c r="BC18" s="847"/>
      <c r="BD18" s="845">
        <v>5407089.8699504221</v>
      </c>
      <c r="BE18" s="846">
        <v>0.36767645852816944</v>
      </c>
      <c r="BF18" s="848">
        <f>BE18/BA18-1</f>
        <v>-9.4546853555502741E-2</v>
      </c>
      <c r="BG18" s="847"/>
      <c r="BH18" s="845">
        <v>7543565.8774000006</v>
      </c>
      <c r="BI18" s="846">
        <v>0.49640433719995791</v>
      </c>
      <c r="BJ18" s="848">
        <f>BI18/BE18-1</f>
        <v>0.3501118325255137</v>
      </c>
      <c r="BK18" s="847"/>
      <c r="BL18" s="845">
        <v>8178976.4044999983</v>
      </c>
      <c r="BM18" s="846">
        <v>0.48622711326046231</v>
      </c>
      <c r="BN18" s="848">
        <f>BM18/BI18-1</f>
        <v>-2.050188359936933E-2</v>
      </c>
      <c r="BO18" s="847"/>
      <c r="BP18" s="845">
        <v>9693134.9169999994</v>
      </c>
      <c r="BQ18" s="846">
        <v>0.52259989598697731</v>
      </c>
      <c r="BR18" s="848">
        <f>BQ18/BM18-1</f>
        <v>7.4806158962654967E-2</v>
      </c>
      <c r="BS18" s="847"/>
      <c r="BT18" s="843">
        <v>9228973</v>
      </c>
      <c r="BU18" s="843">
        <v>0.47</v>
      </c>
      <c r="BV18" s="843">
        <f>BU18/BQ18-1</f>
        <v>-0.10065041419045384</v>
      </c>
      <c r="BW18" s="315">
        <v>10423908.153099999</v>
      </c>
      <c r="BX18" s="316">
        <v>0.53850471411588496</v>
      </c>
      <c r="BY18" s="849">
        <f>BX18/BU18-1</f>
        <v>0.14575471088486158</v>
      </c>
      <c r="BZ18" s="849">
        <v>10530651.726950001</v>
      </c>
      <c r="CA18" s="849">
        <v>0.51623445214666785</v>
      </c>
      <c r="CB18" s="849">
        <f>CA18/BX18-1</f>
        <v>-4.1355741900570675E-2</v>
      </c>
      <c r="CC18" s="957">
        <v>10262021.9365</v>
      </c>
      <c r="CD18" s="957">
        <v>0.49374890570281921</v>
      </c>
      <c r="CE18" s="802">
        <f>CD18/CA18-1</f>
        <v>-4.3556849703359712E-2</v>
      </c>
      <c r="CF18" s="850">
        <f>F20</f>
        <v>12400752.312759999</v>
      </c>
      <c r="CG18" s="849">
        <f>G20</f>
        <v>0.59602549136926886</v>
      </c>
      <c r="CH18" s="802">
        <f>CG18/CD18-1</f>
        <v>0.20714291107312044</v>
      </c>
      <c r="CI18" s="851">
        <f>CF18/AS18-1</f>
        <v>1.0916044679861714</v>
      </c>
      <c r="CJ18" s="802">
        <f>(CI18+1)^(1/(2022-2004))-1</f>
        <v>4.1848138382024169E-2</v>
      </c>
      <c r="CK18" s="12"/>
      <c r="CL18" s="13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3"/>
      <c r="CZ18" s="12"/>
      <c r="DA18" s="287"/>
      <c r="DB18" s="12"/>
      <c r="DC18" s="12"/>
      <c r="DD18" s="12"/>
      <c r="DE18" s="12"/>
      <c r="DF18" s="12"/>
      <c r="DG18" s="12"/>
      <c r="DH18" s="12"/>
      <c r="DI18" s="13"/>
      <c r="DJ18" s="12"/>
      <c r="DK18" s="12"/>
      <c r="DL18" s="12"/>
      <c r="DM18" s="12"/>
      <c r="DN18" s="12"/>
      <c r="DO18" s="12"/>
      <c r="DP18" s="12"/>
      <c r="DQ18" s="12"/>
      <c r="DR18" s="1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3"/>
      <c r="EF18" s="12"/>
      <c r="EG18" s="12"/>
      <c r="EH18" s="12"/>
      <c r="EI18" s="12"/>
      <c r="EJ18" s="12"/>
      <c r="EK18" s="12"/>
      <c r="EL18" s="232"/>
      <c r="EM18" s="12"/>
      <c r="EN18" s="12"/>
      <c r="EO18" s="12"/>
      <c r="EP18" s="12"/>
      <c r="EQ18" s="12"/>
      <c r="ER18" s="266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266"/>
      <c r="FI18" s="12"/>
      <c r="FJ18" s="192">
        <f>FJ17+1</f>
        <v>13</v>
      </c>
      <c r="FK18" s="265"/>
      <c r="FL18" s="878" t="s">
        <v>218</v>
      </c>
      <c r="FM18" s="860">
        <v>46359.069999999985</v>
      </c>
      <c r="FN18" s="860">
        <v>56738.55999999999</v>
      </c>
      <c r="FO18" s="860">
        <v>59444.51999999999</v>
      </c>
      <c r="FP18" s="801">
        <f>FM18+FO18+FN18</f>
        <v>162542.14999999997</v>
      </c>
      <c r="FQ18" s="860">
        <v>46359.069999999985</v>
      </c>
      <c r="FR18" s="860">
        <v>56738.55999999999</v>
      </c>
      <c r="FS18" s="860">
        <v>59660.01999999999</v>
      </c>
      <c r="FT18" s="860">
        <v>162757.64999999997</v>
      </c>
      <c r="FU18" s="955">
        <v>162757.64999999997</v>
      </c>
      <c r="FV18" s="16"/>
      <c r="FW18" s="266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3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3"/>
      <c r="GX18" s="12"/>
      <c r="GY18" s="12"/>
      <c r="GZ18" s="192">
        <v>13</v>
      </c>
      <c r="HA18" s="886">
        <v>13</v>
      </c>
      <c r="HB18" s="886">
        <v>10</v>
      </c>
      <c r="HC18" s="886">
        <v>10</v>
      </c>
      <c r="HD18" s="887">
        <v>107393163</v>
      </c>
      <c r="HE18" s="887">
        <v>109881634</v>
      </c>
      <c r="HF18" s="800">
        <f>HC18/HB18</f>
        <v>1</v>
      </c>
      <c r="HG18" s="800">
        <f>HE18/HD18</f>
        <v>1.023171596128517</v>
      </c>
      <c r="HH18" s="802">
        <v>0</v>
      </c>
      <c r="HI18" s="802">
        <v>1</v>
      </c>
      <c r="HJ18" s="802">
        <v>0</v>
      </c>
      <c r="HK18" s="12"/>
      <c r="HL18" s="13"/>
      <c r="HM18" s="12"/>
      <c r="HN18" s="267">
        <v>13</v>
      </c>
      <c r="HO18" s="892">
        <v>13</v>
      </c>
      <c r="HP18" s="799">
        <f>HG18</f>
        <v>1.023171596128517</v>
      </c>
      <c r="HQ18" s="860">
        <v>27775.331600000001</v>
      </c>
      <c r="HR18" s="801">
        <f>HP18*HQ18</f>
        <v>28418.93036617084</v>
      </c>
      <c r="HS18" s="860">
        <v>11862742</v>
      </c>
      <c r="HT18" s="975">
        <v>12146248</v>
      </c>
      <c r="HU18" s="860">
        <v>5631426.6320999991</v>
      </c>
      <c r="HV18" s="975">
        <v>6209842</v>
      </c>
      <c r="HW18" s="860">
        <v>225000</v>
      </c>
      <c r="HX18" s="955">
        <v>225000</v>
      </c>
      <c r="HY18" s="860">
        <f>SUM(HQ18,HU18,HW18)</f>
        <v>5884201.9636999993</v>
      </c>
      <c r="HZ18" s="860">
        <f>SUM(HR18,HV18,HX18)</f>
        <v>6463260.9303661706</v>
      </c>
      <c r="IA18" s="206"/>
      <c r="IB18" s="207"/>
      <c r="IC18" s="206"/>
      <c r="ID18" s="208">
        <v>13</v>
      </c>
      <c r="IE18" s="892">
        <v>13</v>
      </c>
      <c r="IF18" s="896">
        <f>HF18</f>
        <v>1</v>
      </c>
      <c r="IG18" s="897">
        <f>HG18</f>
        <v>1.023171596128517</v>
      </c>
      <c r="IH18" s="955">
        <v>2205203.5761924665</v>
      </c>
      <c r="II18" s="801">
        <f>IH18*$IG18</f>
        <v>2256301.6628411599</v>
      </c>
      <c r="IJ18" s="955">
        <v>67547.691000000006</v>
      </c>
      <c r="IK18" s="801">
        <f>IJ18*$IG18</f>
        <v>69112.878815265867</v>
      </c>
      <c r="IL18" s="955">
        <v>1259192.0478075333</v>
      </c>
      <c r="IM18" s="801">
        <f>IL18*IF18</f>
        <v>1259192.0478075333</v>
      </c>
      <c r="IN18" s="955">
        <v>1272524.4114888334</v>
      </c>
      <c r="IO18" s="995">
        <v>1272524.4114888334</v>
      </c>
      <c r="IP18" s="955">
        <v>139071.08429999999</v>
      </c>
      <c r="IQ18" s="801">
        <f>IP18*$IG18</f>
        <v>142293.58329855453</v>
      </c>
      <c r="IR18" s="955">
        <v>69474.350399999981</v>
      </c>
      <c r="IS18" s="801">
        <f>IR18*$IG18</f>
        <v>71084.181988759854</v>
      </c>
      <c r="IT18" s="955">
        <v>183955.41</v>
      </c>
      <c r="IU18" s="801">
        <f>IT18*$IG18</f>
        <v>188217.95046617577</v>
      </c>
      <c r="IV18" s="955">
        <v>549829.40595000004</v>
      </c>
      <c r="IW18" s="801">
        <f>IV18*$IG18</f>
        <v>562569.83088425593</v>
      </c>
      <c r="IX18" s="860">
        <f>IH18+IJ18+IL18+IN18+IP18+IT18+IV18+IR18</f>
        <v>5746797.9771388331</v>
      </c>
      <c r="IY18" s="860">
        <f>II18+IK18+IM18+IO18+IQ18+IU18+IW18+IS18</f>
        <v>5821296.5475905379</v>
      </c>
      <c r="IZ18" s="898">
        <f>IY18/HE18*100</f>
        <v>5.2977884799115182</v>
      </c>
      <c r="JA18" s="12"/>
      <c r="JB18" s="13"/>
      <c r="JC18" s="12"/>
      <c r="JD18" s="192">
        <v>13</v>
      </c>
      <c r="JE18" s="886">
        <v>13</v>
      </c>
      <c r="JF18" s="796">
        <f>HC18</f>
        <v>10</v>
      </c>
      <c r="JG18" s="804">
        <f>JF18</f>
        <v>10</v>
      </c>
      <c r="JH18" s="859">
        <f>HE18</f>
        <v>109881634</v>
      </c>
      <c r="JI18" s="859">
        <f>JH18*$JK$26</f>
        <v>110006455.35099371</v>
      </c>
      <c r="JJ18" s="904">
        <f>JG18/JF18</f>
        <v>1</v>
      </c>
      <c r="JK18" s="904">
        <f>JI18/JH18</f>
        <v>1.0011359619114666</v>
      </c>
      <c r="JL18" s="904">
        <f>LC19/LB19</f>
        <v>1.0308938924558946</v>
      </c>
      <c r="JM18" s="886" t="s">
        <v>238</v>
      </c>
      <c r="JN18" s="209"/>
      <c r="JO18" s="210"/>
      <c r="JP18" s="209"/>
      <c r="JQ18" s="192">
        <v>13</v>
      </c>
      <c r="JR18" s="886">
        <v>13</v>
      </c>
      <c r="JS18" s="910" t="str">
        <f>JM18</f>
        <v>Q3</v>
      </c>
      <c r="JT18" s="911">
        <f>JL18</f>
        <v>1.0308938924558946</v>
      </c>
      <c r="JU18" s="860">
        <f>HR18</f>
        <v>28418.93036617084</v>
      </c>
      <c r="JV18" s="860">
        <f>JU18*JL18</f>
        <v>29296.901744614879</v>
      </c>
      <c r="JW18" s="860">
        <f>HT18</f>
        <v>12146248</v>
      </c>
      <c r="JX18" s="860">
        <f>HE18/$HE$26*$JX$26</f>
        <v>12140004.848245159</v>
      </c>
      <c r="JY18" s="860">
        <f>HV18</f>
        <v>6209842</v>
      </c>
      <c r="JZ18" s="860">
        <f>HE18/$HE$26*$JZ$26</f>
        <v>5449881.5583997415</v>
      </c>
      <c r="KA18" s="860">
        <f>HX18</f>
        <v>225000</v>
      </c>
      <c r="KB18" s="860">
        <f>HE18/$HE$26*$KB$26</f>
        <v>237865.41868807055</v>
      </c>
      <c r="KC18" s="860">
        <f>SUM(JU18,JY18,KA18)</f>
        <v>6463260.9303661706</v>
      </c>
      <c r="KD18" s="860">
        <f>SUM(JV18,JZ18,KB18)</f>
        <v>5717043.8788324278</v>
      </c>
      <c r="KE18" s="211"/>
      <c r="KF18" s="210"/>
      <c r="KG18" s="209"/>
      <c r="KH18" s="243">
        <f>KH17+1</f>
        <v>13</v>
      </c>
      <c r="KI18" s="891">
        <v>12</v>
      </c>
      <c r="KJ18" s="920">
        <f>JJ17</f>
        <v>1</v>
      </c>
      <c r="KK18" s="920">
        <f>JK17</f>
        <v>1.0011359619114666</v>
      </c>
      <c r="KL18" s="683">
        <v>1.6626666699999999</v>
      </c>
      <c r="KM18" s="794">
        <f>II17*KM$6/KL18*JK17</f>
        <v>1630590.5238784919</v>
      </c>
      <c r="KN18" s="683">
        <v>1.6626666699999999</v>
      </c>
      <c r="KO18" s="794">
        <f>IK17*KO$6/KN18*KK18</f>
        <v>104331.28968178487</v>
      </c>
      <c r="KP18" s="683">
        <v>1.6626666699999999</v>
      </c>
      <c r="KQ18" s="794">
        <f>IM17*KQ$6/KP18*KJ18</f>
        <v>1030031.2448311668</v>
      </c>
      <c r="KR18" s="683">
        <v>1.6626666699999999</v>
      </c>
      <c r="KS18" s="794">
        <f>IO17*KS$6/KR18*KJ18</f>
        <v>1090200.7689247492</v>
      </c>
      <c r="KT18" s="683">
        <v>1.6626666699999999</v>
      </c>
      <c r="KU18" s="794">
        <f>IQ17*KU$6/KT18*KK18</f>
        <v>102465.59676780543</v>
      </c>
      <c r="KV18" s="683">
        <v>1.6626666699999999</v>
      </c>
      <c r="KW18" s="794">
        <f>IS17*KW$6/KV18*KK18</f>
        <v>90728.621927071348</v>
      </c>
      <c r="KX18" s="683">
        <v>1.6626666699999999</v>
      </c>
      <c r="KY18" s="794">
        <f>IU17*KY$6/KX18*$KK18</f>
        <v>161879.87564197794</v>
      </c>
      <c r="KZ18" s="683">
        <v>1.6626666699999999</v>
      </c>
      <c r="LA18" s="794">
        <f>IW17*LA$6/KZ18*$KK18</f>
        <v>657364.98725875479</v>
      </c>
      <c r="LB18" s="650">
        <f>IY17</f>
        <v>4721725.6969439117</v>
      </c>
      <c r="LC18" s="650">
        <f>KM18+KO18+KQ18+KS18+KU18+KY18+LA18+KW18</f>
        <v>4867592.9089118028</v>
      </c>
      <c r="LD18" s="16"/>
      <c r="LE18" s="220"/>
      <c r="LF18" s="12"/>
      <c r="LG18" s="192">
        <v>13</v>
      </c>
      <c r="LH18" s="921">
        <v>13</v>
      </c>
      <c r="LI18" s="860">
        <f>HY18</f>
        <v>5884201.9636999993</v>
      </c>
      <c r="LJ18" s="860">
        <f>HZ18</f>
        <v>6463260.9303661706</v>
      </c>
      <c r="LK18" s="801">
        <f>KD18</f>
        <v>5717043.8788324278</v>
      </c>
      <c r="LL18" s="860">
        <f>IX18</f>
        <v>5746797.9771388331</v>
      </c>
      <c r="LM18" s="860">
        <f>IY18</f>
        <v>5821296.5475905379</v>
      </c>
      <c r="LN18" s="801">
        <f>LC19</f>
        <v>6001139.0570856705</v>
      </c>
      <c r="LO18" s="860">
        <f>LI18-LL18</f>
        <v>137403.98656116612</v>
      </c>
      <c r="LP18" s="860">
        <f>LJ18-LM18</f>
        <v>641964.38277563266</v>
      </c>
      <c r="LQ18" s="860">
        <f>LK18-LN18</f>
        <v>-284095.17825324275</v>
      </c>
      <c r="LR18" s="12"/>
      <c r="LS18" s="13"/>
      <c r="LT18" s="12"/>
      <c r="LU18" s="12"/>
      <c r="LV18" s="12"/>
      <c r="LW18" s="12"/>
      <c r="LX18" s="12"/>
      <c r="LY18" s="13"/>
      <c r="LZ18" s="12"/>
      <c r="MA18" s="222">
        <f>MA17+1</f>
        <v>12</v>
      </c>
      <c r="MB18" s="812" t="s">
        <v>52</v>
      </c>
      <c r="MC18" s="650">
        <f>N18</f>
        <v>6377885.8178472156</v>
      </c>
      <c r="MD18" s="747">
        <f>MC18/$MC$34*100</f>
        <v>0.29035743471963715</v>
      </c>
      <c r="ME18" s="660"/>
      <c r="MF18" s="792">
        <f>MC18</f>
        <v>6377885.8178472156</v>
      </c>
      <c r="MG18" s="747">
        <f>MF18/$MG$34*100</f>
        <v>0.29035743471963715</v>
      </c>
      <c r="MH18" s="12"/>
      <c r="MI18" s="13"/>
      <c r="MJ18" s="12"/>
      <c r="MK18" s="222">
        <f>MK17+1</f>
        <v>12</v>
      </c>
      <c r="ML18" s="231" t="str">
        <f>MB18</f>
        <v>Equipment</v>
      </c>
      <c r="MM18" s="979">
        <v>5448128.1456260383</v>
      </c>
      <c r="MN18" s="650">
        <f>MC18</f>
        <v>6377885.8178472156</v>
      </c>
      <c r="MO18" s="650">
        <f>MN18-MM18</f>
        <v>929757.67222117726</v>
      </c>
      <c r="MP18" s="823">
        <f>MO18/MM18</f>
        <v>0.1706563515705154</v>
      </c>
      <c r="MQ18" s="12"/>
      <c r="MR18" s="13"/>
      <c r="MS18" s="12"/>
    </row>
    <row r="19" spans="1:357" ht="16.5" x14ac:dyDescent="0.3">
      <c r="B19" s="143">
        <f>B18+1</f>
        <v>14</v>
      </c>
      <c r="C19" s="223"/>
      <c r="D19" s="660" t="s">
        <v>50</v>
      </c>
      <c r="E19" s="791"/>
      <c r="F19" s="792">
        <f>EY9</f>
        <v>3796647.1770000006</v>
      </c>
      <c r="G19" s="793">
        <f>F19/F$24*100</f>
        <v>0.1824807432770606</v>
      </c>
      <c r="H19" s="792">
        <f>FF9</f>
        <v>3622420.2399469693</v>
      </c>
      <c r="I19" s="724">
        <f>H19/H$24*100</f>
        <v>0.17319471074602244</v>
      </c>
      <c r="J19" s="794">
        <f>H19-F19</f>
        <v>-174226.93705303129</v>
      </c>
      <c r="K19" s="792">
        <f>IQ26+IS26</f>
        <v>3898827.7473696326</v>
      </c>
      <c r="L19" s="724">
        <f>K19/K$24*100</f>
        <v>0.17769831967925684</v>
      </c>
      <c r="M19" s="794">
        <f>K19-H19</f>
        <v>276407.50742266327</v>
      </c>
      <c r="N19" s="792">
        <f>KU27+KW27</f>
        <v>4036007.430870018</v>
      </c>
      <c r="O19" s="724">
        <f>N19/N$24*100</f>
        <v>0.18374188525883151</v>
      </c>
      <c r="P19" s="794">
        <f>N19-K19</f>
        <v>137179.68350038538</v>
      </c>
      <c r="Q19" s="792">
        <f>N19-F19</f>
        <v>239360.25387001736</v>
      </c>
      <c r="R19" s="723">
        <f>O19/G19-1</f>
        <v>6.9110962566396594E-3</v>
      </c>
      <c r="V19" s="252">
        <f>V18+1</f>
        <v>10</v>
      </c>
      <c r="W19" s="806" t="s">
        <v>179</v>
      </c>
      <c r="X19" s="800">
        <f>X18/N$24*100</f>
        <v>-0.17325735440698112</v>
      </c>
      <c r="Y19" s="800">
        <f>Y18/N$24*100</f>
        <v>4.0206755712913524E-2</v>
      </c>
      <c r="Z19" s="800">
        <f>Z18/N$24*100</f>
        <v>0.31282380304814433</v>
      </c>
      <c r="AA19" s="800">
        <f>AA18/N$24*100</f>
        <v>0.17977320435407679</v>
      </c>
      <c r="AB19" s="227"/>
      <c r="AC19" s="233"/>
      <c r="AF19" s="165">
        <f>AF18+1</f>
        <v>13</v>
      </c>
      <c r="AG19" s="812" t="s">
        <v>77</v>
      </c>
      <c r="AH19" s="813">
        <f>AH15*KK27</f>
        <v>1857999.0256559267</v>
      </c>
      <c r="AI19" s="813">
        <f>AI15*KK27</f>
        <v>92310.119305470915</v>
      </c>
      <c r="AJ19" s="813">
        <f>AJ15*KJ27</f>
        <v>585111.37535486498</v>
      </c>
      <c r="AL19" s="299"/>
      <c r="AN19" s="222">
        <f>AN18+1</f>
        <v>14</v>
      </c>
      <c r="AO19" s="2"/>
      <c r="AP19" s="317" t="s">
        <v>59</v>
      </c>
      <c r="AQ19" s="5"/>
      <c r="AR19" s="224"/>
      <c r="AS19" s="233">
        <v>32802383.3928</v>
      </c>
      <c r="AT19" s="234">
        <v>3.1987333437832652</v>
      </c>
      <c r="AU19" s="235"/>
      <c r="AV19" s="233">
        <v>36250313.730549999</v>
      </c>
      <c r="AW19" s="234">
        <v>3.359065788539803</v>
      </c>
      <c r="AX19" s="236">
        <f>AW19/AT19-1</f>
        <v>5.012372946564736E-2</v>
      </c>
      <c r="AY19" s="235"/>
      <c r="AZ19" s="233">
        <v>43223045.707989462</v>
      </c>
      <c r="BA19" s="234">
        <v>3.3502683932407789</v>
      </c>
      <c r="BB19" s="236">
        <f>BA19/AW19-1</f>
        <v>-2.6190005950578188E-3</v>
      </c>
      <c r="BC19" s="235"/>
      <c r="BD19" s="233">
        <v>49380961.369565383</v>
      </c>
      <c r="BE19" s="234">
        <v>3.3578537497555252</v>
      </c>
      <c r="BF19" s="236">
        <f>BE19/BA19-1</f>
        <v>2.2641041326867395E-3</v>
      </c>
      <c r="BG19" s="235"/>
      <c r="BH19" s="233">
        <v>57308507.547660008</v>
      </c>
      <c r="BI19" s="234">
        <v>3.7711862224659241</v>
      </c>
      <c r="BJ19" s="236">
        <f>BI19/BE19-1</f>
        <v>0.12309424516791179</v>
      </c>
      <c r="BK19" s="235"/>
      <c r="BL19" s="233">
        <v>61753474.575707734</v>
      </c>
      <c r="BM19" s="234">
        <v>3.6711456534132534</v>
      </c>
      <c r="BN19" s="236">
        <f>BM19/BI19-1</f>
        <v>-2.6527613103989212E-2</v>
      </c>
      <c r="BO19" s="235"/>
      <c r="BP19" s="233">
        <v>74174917.572400004</v>
      </c>
      <c r="BQ19" s="234">
        <v>3.9990987993156044</v>
      </c>
      <c r="BR19" s="236">
        <f>BQ19/BM19-1</f>
        <v>8.9332643502563425E-2</v>
      </c>
      <c r="BS19" s="235"/>
      <c r="BT19" s="12">
        <v>83233170</v>
      </c>
      <c r="BU19" s="12">
        <v>4.24</v>
      </c>
      <c r="BV19" s="12">
        <f>BU19/BQ19-1</f>
        <v>6.0238871999267252E-2</v>
      </c>
      <c r="BW19" s="237">
        <v>91278660.188299984</v>
      </c>
      <c r="BX19" s="238">
        <v>4.7155047883804926</v>
      </c>
      <c r="BY19" s="239">
        <f>BX19/BU19-1</f>
        <v>0.11214735575011603</v>
      </c>
      <c r="BZ19" s="239">
        <v>96836161.677461118</v>
      </c>
      <c r="CA19" s="239">
        <v>4.7471100714133083</v>
      </c>
      <c r="CB19" s="239">
        <f>CA19/BX19-1</f>
        <v>6.7024177582630795E-3</v>
      </c>
      <c r="CC19" s="956">
        <v>99050498.270500004</v>
      </c>
      <c r="CD19" s="956">
        <v>4.7657348067469085</v>
      </c>
      <c r="CE19" s="852">
        <f>CD19/CA19-1</f>
        <v>3.923383922727286E-3</v>
      </c>
      <c r="CF19" s="792">
        <f>F21</f>
        <v>104216563.686424</v>
      </c>
      <c r="CG19" s="824">
        <f>G21</f>
        <v>5.0090290502861157</v>
      </c>
      <c r="CH19" s="852">
        <f>CG19/CD19-1</f>
        <v>5.1050730559907054E-2</v>
      </c>
      <c r="CI19" s="825">
        <f>CF19/AS19-1</f>
        <v>2.1771033963739095</v>
      </c>
      <c r="CJ19" s="852">
        <f>(CI19+1)^(1/(2022-2004))-1</f>
        <v>6.6327551373152493E-2</v>
      </c>
      <c r="DA19" s="287"/>
      <c r="DD19" s="12"/>
      <c r="DN19" s="12"/>
      <c r="DU19" s="12"/>
      <c r="DV19" s="12"/>
      <c r="DW19" s="12"/>
      <c r="DX19" s="12"/>
      <c r="DY19" s="12"/>
      <c r="ER19" s="266"/>
      <c r="FH19" s="266"/>
      <c r="FJ19" s="222">
        <f>FJ18+1</f>
        <v>14</v>
      </c>
      <c r="FK19" s="242"/>
      <c r="FL19" s="877" t="s">
        <v>219</v>
      </c>
      <c r="FM19" s="650">
        <v>77710.069000000003</v>
      </c>
      <c r="FN19" s="650">
        <v>100417.86000000002</v>
      </c>
      <c r="FO19" s="650">
        <v>103913.43999999997</v>
      </c>
      <c r="FP19" s="794">
        <f>FM19+FO19+FN19</f>
        <v>282041.36899999995</v>
      </c>
      <c r="FQ19" s="650">
        <v>77710.069000000003</v>
      </c>
      <c r="FR19" s="650">
        <v>100417.86000000002</v>
      </c>
      <c r="FS19" s="650">
        <v>103913.43999999997</v>
      </c>
      <c r="FT19" s="650">
        <v>282041.36900000001</v>
      </c>
      <c r="FU19" s="955">
        <v>282041.36900000001</v>
      </c>
      <c r="FV19" s="16"/>
      <c r="FW19" s="266"/>
      <c r="GZ19" s="222">
        <v>14</v>
      </c>
      <c r="HA19" s="663">
        <v>14</v>
      </c>
      <c r="HB19" s="663">
        <v>10</v>
      </c>
      <c r="HC19" s="663">
        <v>10</v>
      </c>
      <c r="HD19" s="682">
        <v>132064156</v>
      </c>
      <c r="HE19" s="682">
        <v>135102781</v>
      </c>
      <c r="HF19" s="724">
        <f>HC19/HB19</f>
        <v>1</v>
      </c>
      <c r="HG19" s="724">
        <f>HE19/HD19</f>
        <v>1.0230087034365327</v>
      </c>
      <c r="HH19" s="723">
        <v>0</v>
      </c>
      <c r="HI19" s="723">
        <v>0.8</v>
      </c>
      <c r="HJ19" s="723">
        <v>0.2</v>
      </c>
      <c r="HN19" s="243">
        <v>14</v>
      </c>
      <c r="HO19" s="891">
        <v>14</v>
      </c>
      <c r="HP19" s="793">
        <f>HG19</f>
        <v>1.0230087034365327</v>
      </c>
      <c r="HQ19" s="650">
        <v>1559</v>
      </c>
      <c r="HR19" s="794">
        <f>HP19*HQ19</f>
        <v>1594.8705686575545</v>
      </c>
      <c r="HS19" s="650">
        <v>14594739</v>
      </c>
      <c r="HT19" s="975">
        <v>14929180</v>
      </c>
      <c r="HU19" s="650">
        <v>6813415.3312999997</v>
      </c>
      <c r="HV19" s="975">
        <v>7704857</v>
      </c>
      <c r="HW19" s="650">
        <v>225000</v>
      </c>
      <c r="HX19" s="955">
        <v>225000</v>
      </c>
      <c r="HY19" s="650">
        <f>SUM(HQ19,HU19,HW19)</f>
        <v>7039974.3312999997</v>
      </c>
      <c r="HZ19" s="650">
        <f>SUM(HR19,HV19,HX19)</f>
        <v>7931451.8705686573</v>
      </c>
      <c r="IA19" s="206"/>
      <c r="IB19" s="207"/>
      <c r="IC19" s="206"/>
      <c r="ID19" s="244">
        <v>14</v>
      </c>
      <c r="IE19" s="891">
        <v>14</v>
      </c>
      <c r="IF19" s="899">
        <f>HF19</f>
        <v>1</v>
      </c>
      <c r="IG19" s="900">
        <f>HG19</f>
        <v>1.0230087034365327</v>
      </c>
      <c r="IH19" s="955">
        <v>2814805.8374684127</v>
      </c>
      <c r="II19" s="794">
        <f>IH19*$IG19</f>
        <v>2879570.8702141447</v>
      </c>
      <c r="IJ19" s="955">
        <v>64094.05999999999</v>
      </c>
      <c r="IK19" s="794">
        <f>IJ19*$IG19</f>
        <v>65568.781218583317</v>
      </c>
      <c r="IL19" s="955">
        <v>1235568.3125315872</v>
      </c>
      <c r="IM19" s="794">
        <f>IL19*IF19</f>
        <v>1235568.3125315872</v>
      </c>
      <c r="IN19" s="955">
        <v>1503458.4280395084</v>
      </c>
      <c r="IO19" s="995">
        <v>1503458.4280395084</v>
      </c>
      <c r="IP19" s="955">
        <v>73355.464999999997</v>
      </c>
      <c r="IQ19" s="794">
        <f>IP19*$IG19</f>
        <v>75043.279139633945</v>
      </c>
      <c r="IR19" s="955">
        <v>65086.974999999999</v>
      </c>
      <c r="IS19" s="794">
        <f>IR19*$IG19</f>
        <v>66584.541905356018</v>
      </c>
      <c r="IT19" s="955">
        <v>265277.03000000003</v>
      </c>
      <c r="IU19" s="794">
        <f>IT19*$IG19</f>
        <v>271380.7105117942</v>
      </c>
      <c r="IV19" s="955">
        <v>767825.7013999999</v>
      </c>
      <c r="IW19" s="794">
        <f>IV19*$IG19</f>
        <v>785492.37525446026</v>
      </c>
      <c r="IX19" s="650">
        <f>IH19+IJ19+IL19+IN19+IP19+IT19+IV19+IR19</f>
        <v>6789471.8094395082</v>
      </c>
      <c r="IY19" s="650">
        <f>II19+IK19+IM19+IO19+IQ19+IU19+IW19+IS19</f>
        <v>6882667.2988150679</v>
      </c>
      <c r="IZ19" s="683">
        <f>IY19/HE19*100</f>
        <v>5.0943935038724835</v>
      </c>
      <c r="JD19" s="222">
        <v>14</v>
      </c>
      <c r="JE19" s="663">
        <v>14</v>
      </c>
      <c r="JF19" s="660">
        <f>HC19</f>
        <v>10</v>
      </c>
      <c r="JG19" s="729">
        <f>JF19</f>
        <v>10</v>
      </c>
      <c r="JH19" s="905">
        <f>HE19</f>
        <v>135102781</v>
      </c>
      <c r="JI19" s="905">
        <f>JH19*$JK$26</f>
        <v>135256252.6133492</v>
      </c>
      <c r="JJ19" s="906">
        <f>JG19/JF19</f>
        <v>1</v>
      </c>
      <c r="JK19" s="906">
        <f>JI19/JH19</f>
        <v>1.0011359619114666</v>
      </c>
      <c r="JL19" s="906">
        <f>LC20/LB20</f>
        <v>1.0309371303961412</v>
      </c>
      <c r="JM19" s="663" t="s">
        <v>238</v>
      </c>
      <c r="JN19" s="209"/>
      <c r="JO19" s="210"/>
      <c r="JP19" s="209"/>
      <c r="JQ19" s="222">
        <v>14</v>
      </c>
      <c r="JR19" s="663">
        <v>14</v>
      </c>
      <c r="JS19" s="914" t="str">
        <f>JM19</f>
        <v>Q3</v>
      </c>
      <c r="JT19" s="913">
        <f>JL19</f>
        <v>1.0309371303961412</v>
      </c>
      <c r="JU19" s="671">
        <f>HR19</f>
        <v>1594.8705686575545</v>
      </c>
      <c r="JV19" s="671">
        <f>JU19*JL19</f>
        <v>1644.2112874050811</v>
      </c>
      <c r="JW19" s="671">
        <f>HT19</f>
        <v>14929180</v>
      </c>
      <c r="JX19" s="671">
        <f>HE19/$HE$26*$JX$26</f>
        <v>14926501.878843592</v>
      </c>
      <c r="JY19" s="671">
        <f>HV19</f>
        <v>7704857</v>
      </c>
      <c r="JZ19" s="671">
        <f>HE19/$HE$26*$JZ$26</f>
        <v>6700793.6436440228</v>
      </c>
      <c r="KA19" s="671">
        <f>HX19</f>
        <v>225000</v>
      </c>
      <c r="KB19" s="671">
        <f>HE19/$HE$26*$KB$26</f>
        <v>292462.70189691306</v>
      </c>
      <c r="KC19" s="671">
        <f>SUM(JU19,JY19,KA19)</f>
        <v>7931451.8705686573</v>
      </c>
      <c r="KD19" s="671">
        <f>SUM(JV19,JZ19,KB19)</f>
        <v>6994900.5568283414</v>
      </c>
      <c r="KE19" s="211"/>
      <c r="KF19" s="210"/>
      <c r="KG19" s="209"/>
      <c r="KH19" s="245">
        <f>KH18+1</f>
        <v>14</v>
      </c>
      <c r="KI19" s="917">
        <v>13</v>
      </c>
      <c r="KJ19" s="918">
        <f>JJ18</f>
        <v>1</v>
      </c>
      <c r="KK19" s="918">
        <f>JK18</f>
        <v>1.0011359619114666</v>
      </c>
      <c r="KL19" s="898">
        <v>1.6626666699999999</v>
      </c>
      <c r="KM19" s="801">
        <f>II18*KM$6/KL19*JK18</f>
        <v>2327155.9994307109</v>
      </c>
      <c r="KN19" s="898">
        <v>1.6626666699999999</v>
      </c>
      <c r="KO19" s="801">
        <f>IK18*KO$6/KN19*KK19</f>
        <v>71283.221220670748</v>
      </c>
      <c r="KP19" s="898">
        <v>1.6626666699999999</v>
      </c>
      <c r="KQ19" s="801">
        <f>IM18*KQ$6/KP19*KJ19</f>
        <v>1297260.6470498368</v>
      </c>
      <c r="KR19" s="898">
        <v>1.6626666699999999</v>
      </c>
      <c r="KS19" s="801">
        <f>IO18*KS$6/KR19*KJ19</f>
        <v>1310996.0822171902</v>
      </c>
      <c r="KT19" s="898">
        <v>1.6626666699999999</v>
      </c>
      <c r="KU19" s="801">
        <f>IQ18*KU$6/KT19*KK19</f>
        <v>146762.00948979068</v>
      </c>
      <c r="KV19" s="898">
        <v>1.6626666699999999</v>
      </c>
      <c r="KW19" s="801">
        <f>IS18*KW$6/KV19*KK19</f>
        <v>73316.428961658996</v>
      </c>
      <c r="KX19" s="898">
        <v>1.6626666699999999</v>
      </c>
      <c r="KY19" s="801">
        <f>IU18*KY$6/KX19*$KK19</f>
        <v>194128.53336125417</v>
      </c>
      <c r="KZ19" s="898">
        <v>1.6626666699999999</v>
      </c>
      <c r="LA19" s="919">
        <f>IW18*LA$6/KZ19*$KK19</f>
        <v>580236.13535455766</v>
      </c>
      <c r="LB19" s="646">
        <f>IY18</f>
        <v>5821296.5475905379</v>
      </c>
      <c r="LC19" s="646">
        <f>KM19+KO19+KQ19+KS19+KU19+KY19+LA19+KW19</f>
        <v>6001139.0570856705</v>
      </c>
      <c r="LD19" s="16"/>
      <c r="LE19" s="220"/>
      <c r="LG19" s="222">
        <v>14</v>
      </c>
      <c r="LH19" s="922">
        <v>14</v>
      </c>
      <c r="LI19" s="650">
        <f>HY19</f>
        <v>7039974.3312999997</v>
      </c>
      <c r="LJ19" s="650">
        <f>HZ19</f>
        <v>7931451.8705686573</v>
      </c>
      <c r="LK19" s="794">
        <f>KD19</f>
        <v>6994900.5568283414</v>
      </c>
      <c r="LL19" s="650">
        <f>IX19</f>
        <v>6789471.8094395082</v>
      </c>
      <c r="LM19" s="650">
        <f>IY19</f>
        <v>6882667.2988150679</v>
      </c>
      <c r="LN19" s="794">
        <f>LC20</f>
        <v>7095597.2745117666</v>
      </c>
      <c r="LO19" s="650">
        <f>LI19-LL19</f>
        <v>250502.52186049148</v>
      </c>
      <c r="LP19" s="650">
        <f>LJ19-LM19</f>
        <v>1048784.5717535894</v>
      </c>
      <c r="LQ19" s="650">
        <f>LK19-LN19</f>
        <v>-100696.71768342517</v>
      </c>
      <c r="MA19" s="192">
        <f>MA18+1</f>
        <v>13</v>
      </c>
      <c r="MB19" s="814" t="s">
        <v>50</v>
      </c>
      <c r="MC19" s="860">
        <f>N19</f>
        <v>4036007.430870018</v>
      </c>
      <c r="MD19" s="928">
        <f>MC19/$MC$34*100</f>
        <v>0.18374188525883151</v>
      </c>
      <c r="ME19" s="796"/>
      <c r="MF19" s="798">
        <f>MC19</f>
        <v>4036007.430870018</v>
      </c>
      <c r="MG19" s="928">
        <f>MF19/$MG$34*100</f>
        <v>0.18374188525883151</v>
      </c>
      <c r="MK19" s="192">
        <f>MK18+1</f>
        <v>13</v>
      </c>
      <c r="ML19" s="253" t="str">
        <f>MB19</f>
        <v>Vehicle</v>
      </c>
      <c r="MM19" s="979">
        <v>3545647.9071340258</v>
      </c>
      <c r="MN19" s="860">
        <f>MC19</f>
        <v>4036007.430870018</v>
      </c>
      <c r="MO19" s="860">
        <f>MN19-MM19</f>
        <v>490359.52373599214</v>
      </c>
      <c r="MP19" s="802">
        <f>MO19/MM19</f>
        <v>0.13829898979798969</v>
      </c>
    </row>
    <row r="20" spans="1:357" s="29" customFormat="1" ht="16.5" x14ac:dyDescent="0.3">
      <c r="B20" s="181">
        <f>B19+1</f>
        <v>15</v>
      </c>
      <c r="C20" s="251"/>
      <c r="D20" s="804" t="s">
        <v>53</v>
      </c>
      <c r="E20" s="797"/>
      <c r="F20" s="798">
        <f>FP36</f>
        <v>12400752.312759999</v>
      </c>
      <c r="G20" s="799">
        <f>F20/F$24*100</f>
        <v>0.59602549136926886</v>
      </c>
      <c r="H20" s="798">
        <f>FU36</f>
        <v>12035251.726130454</v>
      </c>
      <c r="I20" s="800">
        <f>H20/H$24*100</f>
        <v>0.57542797450061911</v>
      </c>
      <c r="J20" s="801">
        <f>H20-F20</f>
        <v>-365500.58662954532</v>
      </c>
      <c r="K20" s="798">
        <f>IW26</f>
        <v>12737461.434445117</v>
      </c>
      <c r="L20" s="800">
        <f>K20/K$24*100</f>
        <v>0.58054000857238874</v>
      </c>
      <c r="M20" s="801">
        <f>K20-H20</f>
        <v>702209.7083146628</v>
      </c>
      <c r="N20" s="798">
        <f>LA27</f>
        <v>13184279.964434486</v>
      </c>
      <c r="O20" s="800">
        <f>N20/N$24*100</f>
        <v>0.60022299213736274</v>
      </c>
      <c r="P20" s="801">
        <f>N20-K20</f>
        <v>446818.52998936921</v>
      </c>
      <c r="Q20" s="798">
        <f>N20-F20</f>
        <v>783527.6516744867</v>
      </c>
      <c r="R20" s="802">
        <f>O20/G20-1</f>
        <v>7.0424853112420749E-3</v>
      </c>
      <c r="S20" s="12"/>
      <c r="T20" s="13"/>
      <c r="U20" s="12"/>
      <c r="V20" s="165">
        <f>V19+1</f>
        <v>11</v>
      </c>
      <c r="W20" s="808" t="s">
        <v>132</v>
      </c>
      <c r="X20" s="650">
        <f>X18-X14</f>
        <v>-3825868.8550223741</v>
      </c>
      <c r="Y20" s="650">
        <f>Y18-Y14</f>
        <v>-5285844.8281013574</v>
      </c>
      <c r="Z20" s="650">
        <f>Z18-Z14</f>
        <v>-9520926.8131148312</v>
      </c>
      <c r="AA20" s="650">
        <f>AA18-AA14</f>
        <v>-18632640.496238559</v>
      </c>
      <c r="AB20" s="230"/>
      <c r="AC20" s="234"/>
      <c r="AD20" s="13"/>
      <c r="AE20" s="12"/>
      <c r="AF20" s="252">
        <f>AF19+1</f>
        <v>14</v>
      </c>
      <c r="AG20" s="814" t="s">
        <v>180</v>
      </c>
      <c r="AH20" s="815">
        <f>AH19*3600/$N$24</f>
        <v>3.0451184708403778</v>
      </c>
      <c r="AI20" s="815">
        <f>AI19*3600/$N$24</f>
        <v>0.15128923398834065</v>
      </c>
      <c r="AJ20" s="815">
        <f>AJ19*3600/$N$24</f>
        <v>0.95895284765443523</v>
      </c>
      <c r="AK20" s="12"/>
      <c r="AL20" s="299"/>
      <c r="AM20" s="12"/>
      <c r="AN20" s="192">
        <f>AN19+1</f>
        <v>15</v>
      </c>
      <c r="AO20" s="193"/>
      <c r="AP20" s="191" t="s">
        <v>220</v>
      </c>
      <c r="AQ20" s="7"/>
      <c r="AR20" s="195"/>
      <c r="AS20" s="255">
        <v>8347158.8556000106</v>
      </c>
      <c r="AT20" s="256">
        <v>0.81397546749984451</v>
      </c>
      <c r="AU20" s="257"/>
      <c r="AV20" s="255">
        <v>7285795.8646500036</v>
      </c>
      <c r="AW20" s="256">
        <v>0.67512429859622292</v>
      </c>
      <c r="AX20" s="250">
        <f>AW20/AT20-1</f>
        <v>-0.17058397267193814</v>
      </c>
      <c r="AY20" s="257"/>
      <c r="AZ20" s="255">
        <v>9252422.5520105362</v>
      </c>
      <c r="BA20" s="256">
        <v>0.71716600089519644</v>
      </c>
      <c r="BB20" s="250">
        <f>BA20/AW20-1</f>
        <v>6.2272536163178183E-2</v>
      </c>
      <c r="BC20" s="257"/>
      <c r="BD20" s="255">
        <v>10915527.954034619</v>
      </c>
      <c r="BE20" s="256">
        <v>0.74224448966694945</v>
      </c>
      <c r="BF20" s="250">
        <f>BE20/BA20-1</f>
        <v>3.4968875742086292E-2</v>
      </c>
      <c r="BG20" s="257"/>
      <c r="BH20" s="255">
        <v>3838414.9907733351</v>
      </c>
      <c r="BI20" s="256">
        <v>0.25258689065096962</v>
      </c>
      <c r="BJ20" s="250">
        <f>BI20/BE20-1</f>
        <v>-0.65969853038005422</v>
      </c>
      <c r="BK20" s="257"/>
      <c r="BL20" s="255">
        <v>5658223.4029922634</v>
      </c>
      <c r="BM20" s="256">
        <v>0.33637236438364621</v>
      </c>
      <c r="BN20" s="250">
        <f>BM20/BI20-1</f>
        <v>0.33170951000958038</v>
      </c>
      <c r="BO20" s="257"/>
      <c r="BP20" s="255">
        <v>8558427.9676000625</v>
      </c>
      <c r="BQ20" s="256">
        <v>0.46142281150297859</v>
      </c>
      <c r="BR20" s="250">
        <f>BQ20/BM20-1</f>
        <v>0.37176195300249848</v>
      </c>
      <c r="BS20" s="257"/>
      <c r="BT20" s="29">
        <v>12790093</v>
      </c>
      <c r="BU20" s="29">
        <v>0.65</v>
      </c>
      <c r="BV20" s="29">
        <f>BU20/BQ20-1</f>
        <v>0.40868631501501773</v>
      </c>
      <c r="BW20" s="258">
        <v>16992816.141500026</v>
      </c>
      <c r="BX20" s="259">
        <v>0.87785804171546822</v>
      </c>
      <c r="BY20" s="260">
        <f>BX20/BU20-1</f>
        <v>0.35055083340841264</v>
      </c>
      <c r="BZ20" s="260">
        <v>13569776.854138836</v>
      </c>
      <c r="CA20" s="260">
        <v>0.66521868747413349</v>
      </c>
      <c r="CB20" s="260">
        <f>CA20/BX20-1</f>
        <v>-0.24222521653478857</v>
      </c>
      <c r="CC20" s="956">
        <v>5345041.1556581259</v>
      </c>
      <c r="CD20" s="956">
        <v>0.25717234263122563</v>
      </c>
      <c r="CE20" s="802">
        <f>CD20/CA20-1</f>
        <v>-0.61340180684381995</v>
      </c>
      <c r="CF20" s="798">
        <f>F22</f>
        <v>7158976.8429704905</v>
      </c>
      <c r="CG20" s="831">
        <f>G22</f>
        <v>0.3440865991769031</v>
      </c>
      <c r="CH20" s="802">
        <f>CG20/CD20-1</f>
        <v>0.33796113398674787</v>
      </c>
      <c r="CI20" s="832">
        <f>CF20/AS20-1</f>
        <v>-0.14234568110949308</v>
      </c>
      <c r="CJ20" s="802">
        <f>(CI20+1)^(1/(2022-2004))-1</f>
        <v>-8.4945023382365648E-3</v>
      </c>
      <c r="CK20" s="12"/>
      <c r="CL20" s="13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3"/>
      <c r="CZ20" s="12"/>
      <c r="DA20" s="287"/>
      <c r="DB20" s="12"/>
      <c r="DC20" s="12"/>
      <c r="DD20" s="12"/>
      <c r="DE20" s="12"/>
      <c r="DF20" s="12"/>
      <c r="DG20" s="12"/>
      <c r="DH20" s="12"/>
      <c r="DI20" s="13"/>
      <c r="DJ20" s="12"/>
      <c r="DK20" s="12"/>
      <c r="DL20" s="12"/>
      <c r="DM20" s="12"/>
      <c r="DN20" s="12"/>
      <c r="DO20" s="12"/>
      <c r="DP20" s="12"/>
      <c r="DQ20" s="12"/>
      <c r="DR20" s="1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3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266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66"/>
      <c r="FI20" s="12"/>
      <c r="FJ20" s="312">
        <f>FJ19+1</f>
        <v>15</v>
      </c>
      <c r="FK20" s="318"/>
      <c r="FL20" s="319" t="s">
        <v>221</v>
      </c>
      <c r="FM20" s="320">
        <f>SUM(FM7:FM19)</f>
        <v>1384457.0804999999</v>
      </c>
      <c r="FN20" s="320">
        <f>SUM(FN7:FN19)</f>
        <v>2365134.79</v>
      </c>
      <c r="FO20" s="320">
        <f>SUM(FO7:FO19)</f>
        <v>3499048.7027100003</v>
      </c>
      <c r="FP20" s="321">
        <f>FM20+FO20+FN20</f>
        <v>7248640.5732100001</v>
      </c>
      <c r="FQ20" s="320">
        <v>1361253.4714090908</v>
      </c>
      <c r="FR20" s="320">
        <v>2221615.8199999998</v>
      </c>
      <c r="FS20" s="320">
        <v>3507529.9327099998</v>
      </c>
      <c r="FT20" s="320">
        <v>7090399.2241190914</v>
      </c>
      <c r="FU20" s="971">
        <v>7090399.2241190914</v>
      </c>
      <c r="FV20" s="16"/>
      <c r="FW20" s="266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3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3"/>
      <c r="GX20" s="12"/>
      <c r="GY20" s="12"/>
      <c r="GZ20" s="192">
        <v>15</v>
      </c>
      <c r="HA20" s="886">
        <v>15</v>
      </c>
      <c r="HB20" s="886">
        <v>10</v>
      </c>
      <c r="HC20" s="886">
        <v>10</v>
      </c>
      <c r="HD20" s="887">
        <v>151054973</v>
      </c>
      <c r="HE20" s="887">
        <v>153653848</v>
      </c>
      <c r="HF20" s="800">
        <f>HC20/HB20</f>
        <v>1</v>
      </c>
      <c r="HG20" s="800">
        <f>HE20/HD20</f>
        <v>1.0172048291319744</v>
      </c>
      <c r="HH20" s="802">
        <v>0</v>
      </c>
      <c r="HI20" s="802">
        <v>0.6</v>
      </c>
      <c r="HJ20" s="802">
        <v>0.4</v>
      </c>
      <c r="HK20" s="12"/>
      <c r="HL20" s="13"/>
      <c r="HM20" s="12"/>
      <c r="HN20" s="267">
        <v>15</v>
      </c>
      <c r="HO20" s="892">
        <v>15</v>
      </c>
      <c r="HP20" s="799">
        <f>HG20</f>
        <v>1.0172048291319744</v>
      </c>
      <c r="HQ20" s="860">
        <v>107001.53</v>
      </c>
      <c r="HR20" s="801">
        <f>HP20*HQ20</f>
        <v>108842.47304050984</v>
      </c>
      <c r="HS20" s="860">
        <v>16599582</v>
      </c>
      <c r="HT20" s="975">
        <v>16910947</v>
      </c>
      <c r="HU20" s="860">
        <v>7195326.9701999994</v>
      </c>
      <c r="HV20" s="975">
        <v>8565286</v>
      </c>
      <c r="HW20" s="860">
        <v>225000</v>
      </c>
      <c r="HX20" s="955">
        <v>225000</v>
      </c>
      <c r="HY20" s="860">
        <f>SUM(HQ20,HU20,HW20)</f>
        <v>7527328.5001999997</v>
      </c>
      <c r="HZ20" s="860">
        <f>SUM(HR20,HV20,HX20)</f>
        <v>8899128.47304051</v>
      </c>
      <c r="IA20" s="206"/>
      <c r="IB20" s="207"/>
      <c r="IC20" s="206"/>
      <c r="ID20" s="208">
        <v>15</v>
      </c>
      <c r="IE20" s="892">
        <v>15</v>
      </c>
      <c r="IF20" s="896">
        <f>HF20</f>
        <v>1</v>
      </c>
      <c r="IG20" s="897">
        <f>HG20</f>
        <v>1.0172048291319744</v>
      </c>
      <c r="IH20" s="955">
        <v>2939270.0717588281</v>
      </c>
      <c r="II20" s="801">
        <f>IH20*$IG20</f>
        <v>2989839.7111161649</v>
      </c>
      <c r="IJ20" s="955">
        <v>164458.5644</v>
      </c>
      <c r="IK20" s="801">
        <f>IJ20*$IG20</f>
        <v>167288.04589979182</v>
      </c>
      <c r="IL20" s="955">
        <v>1239730.2338411715</v>
      </c>
      <c r="IM20" s="801">
        <f>IL20*IF20</f>
        <v>1239730.2338411715</v>
      </c>
      <c r="IN20" s="955">
        <v>1823650.9582650054</v>
      </c>
      <c r="IO20" s="995">
        <v>1823650.9582650054</v>
      </c>
      <c r="IP20" s="955">
        <v>148263.52149999997</v>
      </c>
      <c r="IQ20" s="801">
        <f>IP20*$IG20</f>
        <v>150814.37005391228</v>
      </c>
      <c r="IR20" s="955">
        <v>61819.527166666667</v>
      </c>
      <c r="IS20" s="801">
        <f>IR20*$IG20</f>
        <v>62883.12156858862</v>
      </c>
      <c r="IT20" s="955">
        <v>308605.27999999997</v>
      </c>
      <c r="IU20" s="801">
        <f>IT20*$IG20</f>
        <v>313914.78111162508</v>
      </c>
      <c r="IV20" s="955">
        <v>575127.48739999998</v>
      </c>
      <c r="IW20" s="801">
        <f>IV20*$IG20</f>
        <v>585022.45754981879</v>
      </c>
      <c r="IX20" s="860">
        <f>IH20+IJ20+IL20+IN20+IP20+IT20+IV20+IR20</f>
        <v>7260925.6443316713</v>
      </c>
      <c r="IY20" s="860">
        <f>II20+IK20+IM20+IO20+IQ20+IU20+IW20+IS20</f>
        <v>7333143.6794060785</v>
      </c>
      <c r="IZ20" s="898">
        <f>IY20/HE20*100</f>
        <v>4.7725089705570403</v>
      </c>
      <c r="JA20" s="12"/>
      <c r="JB20" s="13"/>
      <c r="JC20" s="12"/>
      <c r="JD20" s="192">
        <v>15</v>
      </c>
      <c r="JE20" s="886">
        <v>15</v>
      </c>
      <c r="JF20" s="796">
        <f>HC20</f>
        <v>10</v>
      </c>
      <c r="JG20" s="804">
        <f>JF20</f>
        <v>10</v>
      </c>
      <c r="JH20" s="859">
        <f>HE20</f>
        <v>153653848</v>
      </c>
      <c r="JI20" s="859">
        <f>JH20*$JK$26</f>
        <v>153828392.91887829</v>
      </c>
      <c r="JJ20" s="904">
        <f>JG20/JF20</f>
        <v>1</v>
      </c>
      <c r="JK20" s="904">
        <f>JI20/JH20</f>
        <v>1.0011359619114666</v>
      </c>
      <c r="JL20" s="904">
        <f>LC21/LB21</f>
        <v>1.0447376908627588</v>
      </c>
      <c r="JM20" s="886" t="s">
        <v>425</v>
      </c>
      <c r="JN20" s="209"/>
      <c r="JO20" s="210"/>
      <c r="JP20" s="209"/>
      <c r="JQ20" s="192">
        <v>15</v>
      </c>
      <c r="JR20" s="886">
        <v>15</v>
      </c>
      <c r="JS20" s="910" t="str">
        <f>JM20</f>
        <v>Q2</v>
      </c>
      <c r="JT20" s="911">
        <f>JL20</f>
        <v>1.0447376908627588</v>
      </c>
      <c r="JU20" s="860">
        <f>HR20</f>
        <v>108842.47304050984</v>
      </c>
      <c r="JV20" s="860">
        <f>JU20*JL20</f>
        <v>113711.83395213433</v>
      </c>
      <c r="JW20" s="860">
        <f>HT20</f>
        <v>16910947</v>
      </c>
      <c r="JX20" s="860">
        <f>HE20/$HE$26*$JX$26</f>
        <v>16976071.357580326</v>
      </c>
      <c r="JY20" s="860">
        <f>HV20</f>
        <v>8565286</v>
      </c>
      <c r="JZ20" s="860">
        <f>HE20/$HE$26*$JZ$26</f>
        <v>7620884.7840063693</v>
      </c>
      <c r="KA20" s="860">
        <f>HX20</f>
        <v>225000</v>
      </c>
      <c r="KB20" s="860">
        <f>HE20/$HE$26*$KB$26</f>
        <v>332620.98093256564</v>
      </c>
      <c r="KC20" s="860">
        <f>SUM(JU20,JY20,KA20)</f>
        <v>8899128.47304051</v>
      </c>
      <c r="KD20" s="860">
        <f>SUM(JV20,JZ20,KB20)</f>
        <v>8067217.5988910692</v>
      </c>
      <c r="KE20" s="211"/>
      <c r="KF20" s="210"/>
      <c r="KG20" s="209"/>
      <c r="KH20" s="243">
        <f>KH19+1</f>
        <v>15</v>
      </c>
      <c r="KI20" s="891">
        <v>14</v>
      </c>
      <c r="KJ20" s="920">
        <f>JJ19</f>
        <v>1</v>
      </c>
      <c r="KK20" s="920">
        <f>JK19</f>
        <v>1.0011359619114666</v>
      </c>
      <c r="KL20" s="683">
        <v>1.6626666699999999</v>
      </c>
      <c r="KM20" s="794">
        <f>II19*KM$6/KL20*JK19</f>
        <v>2969997.6456013964</v>
      </c>
      <c r="KN20" s="683">
        <v>1.6626666699999999</v>
      </c>
      <c r="KO20" s="794">
        <f>IK19*KO$6/KN20*KK20</f>
        <v>67627.82880549955</v>
      </c>
      <c r="KP20" s="683">
        <v>1.6626666699999999</v>
      </c>
      <c r="KQ20" s="794">
        <f>IM19*KQ$6/KP20*KJ20</f>
        <v>1272922.7057777585</v>
      </c>
      <c r="KR20" s="683">
        <v>1.6626666699999999</v>
      </c>
      <c r="KS20" s="794">
        <f>IO19*KS$6/KR20*KJ20</f>
        <v>1548911.8252986118</v>
      </c>
      <c r="KT20" s="683">
        <v>1.6626666699999999</v>
      </c>
      <c r="KU20" s="794">
        <f>IQ19*KU$6/KT20*KK20</f>
        <v>77399.853106010341</v>
      </c>
      <c r="KV20" s="683">
        <v>1.6626666699999999</v>
      </c>
      <c r="KW20" s="794">
        <f>IS19*KW$6/KV20*KK20</f>
        <v>68675.487288023709</v>
      </c>
      <c r="KX20" s="683">
        <v>1.6626666699999999</v>
      </c>
      <c r="KY20" s="794">
        <f>IU19*KY$6/KX20*$KK20</f>
        <v>279902.84233626904</v>
      </c>
      <c r="KZ20" s="683">
        <v>1.6626666699999999</v>
      </c>
      <c r="LA20" s="794">
        <f>IW19*LA$6/KZ20*$KK20</f>
        <v>810159.08629819693</v>
      </c>
      <c r="LB20" s="650">
        <f>IY19</f>
        <v>6882667.2988150679</v>
      </c>
      <c r="LC20" s="650">
        <f>KM20+KO20+KQ20+KS20+KU20+KY20+LA20+KW20</f>
        <v>7095597.2745117666</v>
      </c>
      <c r="LD20" s="16"/>
      <c r="LE20" s="220"/>
      <c r="LF20" s="12"/>
      <c r="LG20" s="192">
        <v>15</v>
      </c>
      <c r="LH20" s="921">
        <v>15</v>
      </c>
      <c r="LI20" s="860">
        <f>HY20</f>
        <v>7527328.5001999997</v>
      </c>
      <c r="LJ20" s="860">
        <f>HZ20</f>
        <v>8899128.47304051</v>
      </c>
      <c r="LK20" s="801">
        <f>KD20</f>
        <v>8067217.5988910692</v>
      </c>
      <c r="LL20" s="860">
        <f>IX20</f>
        <v>7260925.6443316713</v>
      </c>
      <c r="LM20" s="860">
        <f>IY20</f>
        <v>7333143.6794060785</v>
      </c>
      <c r="LN20" s="801">
        <f>LC21</f>
        <v>7661211.5943875406</v>
      </c>
      <c r="LO20" s="860">
        <f>LI20-LL20</f>
        <v>266402.85586832836</v>
      </c>
      <c r="LP20" s="860">
        <f>LJ20-LM20</f>
        <v>1565984.7936344314</v>
      </c>
      <c r="LQ20" s="860">
        <f>LK20-LN20</f>
        <v>406006.00450352859</v>
      </c>
      <c r="LR20" s="12"/>
      <c r="LS20" s="13"/>
      <c r="LT20" s="12"/>
      <c r="LU20" s="12"/>
      <c r="LV20" s="12"/>
      <c r="LW20" s="12"/>
      <c r="LX20" s="12"/>
      <c r="LY20" s="13"/>
      <c r="LZ20" s="12"/>
      <c r="MA20" s="293">
        <f>MA19+1</f>
        <v>14</v>
      </c>
      <c r="MB20" s="816" t="s">
        <v>53</v>
      </c>
      <c r="MC20" s="929">
        <f>N20</f>
        <v>13184279.964434486</v>
      </c>
      <c r="MD20" s="930">
        <f>MC20/$MC$34*100</f>
        <v>0.60022299213736274</v>
      </c>
      <c r="ME20" s="839"/>
      <c r="MF20" s="931">
        <f>MC20</f>
        <v>13184279.964434486</v>
      </c>
      <c r="MG20" s="930">
        <f>MF20/$MG$34*100</f>
        <v>0.60022299213736274</v>
      </c>
      <c r="MH20" s="12"/>
      <c r="MI20" s="13"/>
      <c r="MJ20" s="12"/>
      <c r="MK20" s="293">
        <f>MK19+1</f>
        <v>14</v>
      </c>
      <c r="ML20" s="272" t="str">
        <f>MB20</f>
        <v>Overhead</v>
      </c>
      <c r="MM20" s="980">
        <v>10556442.680443538</v>
      </c>
      <c r="MN20" s="929">
        <f>MC20</f>
        <v>13184279.964434486</v>
      </c>
      <c r="MO20" s="929">
        <f>MN20-MM20</f>
        <v>2627837.2839909475</v>
      </c>
      <c r="MP20" s="940">
        <f>MO20/MM20</f>
        <v>0.24893208475040349</v>
      </c>
      <c r="MQ20" s="12"/>
      <c r="MR20" s="13"/>
      <c r="MS20" s="12"/>
    </row>
    <row r="21" spans="1:357" ht="17.25" thickBot="1" x14ac:dyDescent="0.35">
      <c r="A21" s="5"/>
      <c r="B21" s="143">
        <f>B20+1</f>
        <v>16</v>
      </c>
      <c r="C21" s="307" t="s">
        <v>222</v>
      </c>
      <c r="D21" s="307"/>
      <c r="E21" s="308"/>
      <c r="F21" s="322">
        <f>SUM(F14:F20)</f>
        <v>104216563.686424</v>
      </c>
      <c r="G21" s="323">
        <f>F21/F$24*100</f>
        <v>5.0090290502861157</v>
      </c>
      <c r="H21" s="322">
        <f>SUM(H14:H20)</f>
        <v>101285634.88093203</v>
      </c>
      <c r="I21" s="324">
        <f>H21/H$24*100</f>
        <v>4.842656310960507</v>
      </c>
      <c r="J21" s="325">
        <f>H21-F21</f>
        <v>-2930928.805491969</v>
      </c>
      <c r="K21" s="322">
        <f>SUM(K14:K20)</f>
        <v>106424488.89034145</v>
      </c>
      <c r="L21" s="324">
        <f>K21/K$24*100</f>
        <v>4.8505484401808046</v>
      </c>
      <c r="M21" s="325">
        <f>K21-H21</f>
        <v>5138854.0094094127</v>
      </c>
      <c r="N21" s="322">
        <f>SUM(N14:N20)</f>
        <v>109957383.28231123</v>
      </c>
      <c r="O21" s="324">
        <f>N21/N$24*100</f>
        <v>5.0058819881965828</v>
      </c>
      <c r="P21" s="325">
        <f>N21-K21</f>
        <v>3532894.3919697851</v>
      </c>
      <c r="Q21" s="322">
        <f>N21-F21</f>
        <v>5740819.5958872288</v>
      </c>
      <c r="R21" s="326">
        <f>O21/G21-1</f>
        <v>-6.2827786741481706E-4</v>
      </c>
      <c r="V21" s="185"/>
      <c r="W21" s="186" t="s">
        <v>27</v>
      </c>
      <c r="X21" s="269"/>
      <c r="Y21" s="270"/>
      <c r="Z21" s="270"/>
      <c r="AA21" s="270"/>
      <c r="AB21" s="189"/>
      <c r="AC21" s="236"/>
      <c r="AF21" s="327">
        <f>AF20+1</f>
        <v>15</v>
      </c>
      <c r="AG21" s="819" t="s">
        <v>187</v>
      </c>
      <c r="AH21" s="820">
        <f>KM27/AH19</f>
        <v>21.5909155817974</v>
      </c>
      <c r="AI21" s="820">
        <f>KO27/AI19</f>
        <v>21.624578811329847</v>
      </c>
      <c r="AJ21" s="820">
        <f>KQ27/AJ19</f>
        <v>32.768848092605424</v>
      </c>
      <c r="AL21" s="299"/>
      <c r="AN21" s="1055" t="s">
        <v>223</v>
      </c>
      <c r="AO21" s="1055"/>
      <c r="AP21" s="1055"/>
      <c r="AQ21" s="1055"/>
      <c r="AR21" s="1055"/>
      <c r="AS21" s="1055"/>
      <c r="AT21" s="1055"/>
      <c r="AU21" s="1055"/>
      <c r="AV21" s="1055"/>
      <c r="AW21" s="1055"/>
      <c r="AX21" s="1055"/>
      <c r="AY21" s="1055"/>
      <c r="AZ21" s="1055"/>
      <c r="BA21" s="1055"/>
      <c r="BB21" s="1055"/>
      <c r="BC21" s="1055"/>
      <c r="BD21" s="1055"/>
      <c r="BE21" s="1055"/>
      <c r="BF21" s="1055"/>
      <c r="BG21" s="1055"/>
      <c r="BH21" s="1055"/>
      <c r="BI21" s="1055"/>
      <c r="BJ21" s="1055"/>
      <c r="BK21" s="1055"/>
      <c r="BL21" s="1055"/>
      <c r="BM21" s="1055"/>
      <c r="BN21" s="1055"/>
      <c r="BO21" s="1055"/>
      <c r="BP21" s="1055"/>
      <c r="BQ21" s="1055"/>
      <c r="BR21" s="1055"/>
      <c r="BS21" s="1055"/>
      <c r="BT21" s="1056"/>
      <c r="BU21" s="1056"/>
      <c r="BV21" s="1056"/>
      <c r="BW21" s="1056"/>
      <c r="BX21" s="1056"/>
      <c r="BY21" s="1056"/>
      <c r="BZ21" s="1056"/>
      <c r="CA21" s="1056"/>
      <c r="CB21" s="1056"/>
      <c r="CC21" s="1056"/>
      <c r="CD21" s="1056"/>
      <c r="CE21" s="1056"/>
      <c r="CF21" s="1056"/>
      <c r="CG21" s="1056"/>
      <c r="CH21" s="1056"/>
      <c r="CI21" s="1055"/>
      <c r="CJ21" s="1055"/>
      <c r="DA21" s="287"/>
      <c r="DD21" s="12"/>
      <c r="DU21" s="12"/>
      <c r="DV21" s="12"/>
      <c r="DW21" s="12"/>
      <c r="DX21" s="12"/>
      <c r="DY21" s="12"/>
      <c r="ER21" s="266"/>
      <c r="FH21" s="266"/>
      <c r="FJ21" s="222">
        <f>FJ20+1</f>
        <v>16</v>
      </c>
      <c r="FK21" s="15" t="s">
        <v>224</v>
      </c>
      <c r="FL21" s="308"/>
      <c r="FM21" s="329"/>
      <c r="FN21" s="329"/>
      <c r="FO21" s="329"/>
      <c r="FP21" s="330"/>
      <c r="FQ21" s="329"/>
      <c r="FR21" s="329"/>
      <c r="FS21" s="329"/>
      <c r="FT21" s="329"/>
      <c r="FU21" s="329"/>
      <c r="FV21" s="16"/>
      <c r="FW21" s="266"/>
      <c r="GZ21" s="222">
        <v>16</v>
      </c>
      <c r="HA21" s="663">
        <v>16</v>
      </c>
      <c r="HB21" s="663">
        <v>10</v>
      </c>
      <c r="HC21" s="663">
        <v>10</v>
      </c>
      <c r="HD21" s="682">
        <v>161434968</v>
      </c>
      <c r="HE21" s="682">
        <v>163801024</v>
      </c>
      <c r="HF21" s="724">
        <f>HC21/HB21</f>
        <v>1</v>
      </c>
      <c r="HG21" s="724">
        <f>HE21/HD21</f>
        <v>1.0146564033140577</v>
      </c>
      <c r="HH21" s="723">
        <v>0</v>
      </c>
      <c r="HI21" s="723">
        <v>0.5</v>
      </c>
      <c r="HJ21" s="723">
        <v>0.5</v>
      </c>
      <c r="HN21" s="243">
        <v>16</v>
      </c>
      <c r="HO21" s="891">
        <v>16</v>
      </c>
      <c r="HP21" s="793">
        <f>HG21</f>
        <v>1.0146564033140577</v>
      </c>
      <c r="HQ21" s="650">
        <v>39583.630000000005</v>
      </c>
      <c r="HR21" s="794">
        <f>HP21*HQ21</f>
        <v>40163.783645914438</v>
      </c>
      <c r="HS21" s="650">
        <v>17950787</v>
      </c>
      <c r="HT21" s="975">
        <v>18206967</v>
      </c>
      <c r="HU21" s="650">
        <v>8597440.1903000008</v>
      </c>
      <c r="HV21" s="975">
        <v>9402320</v>
      </c>
      <c r="HW21" s="650">
        <v>225000</v>
      </c>
      <c r="HX21" s="955">
        <v>225000</v>
      </c>
      <c r="HY21" s="650">
        <f>SUM(HQ21,HU21,HW21)</f>
        <v>8862023.8203000017</v>
      </c>
      <c r="HZ21" s="650">
        <f>SUM(HR21,HV21,HX21)</f>
        <v>9667483.7836459149</v>
      </c>
      <c r="IA21" s="206"/>
      <c r="IB21" s="207"/>
      <c r="IC21" s="206"/>
      <c r="ID21" s="244">
        <v>16</v>
      </c>
      <c r="IE21" s="891">
        <v>16</v>
      </c>
      <c r="IF21" s="899">
        <f>HF21</f>
        <v>1</v>
      </c>
      <c r="IG21" s="900">
        <f>HG21</f>
        <v>1.0146564033140577</v>
      </c>
      <c r="IH21" s="955">
        <v>2733563.4377292385</v>
      </c>
      <c r="II21" s="794">
        <f>IH21*$IG21</f>
        <v>2773627.6459571603</v>
      </c>
      <c r="IJ21" s="955">
        <v>60011.618999999992</v>
      </c>
      <c r="IK21" s="794">
        <f>IJ21*$IG21</f>
        <v>60891.173491593559</v>
      </c>
      <c r="IL21" s="955">
        <v>1492298.6492707615</v>
      </c>
      <c r="IM21" s="794">
        <f>IL21*IF21</f>
        <v>1492298.6492707615</v>
      </c>
      <c r="IN21" s="955">
        <v>1885780.2045426611</v>
      </c>
      <c r="IO21" s="995">
        <v>1885780.2045426611</v>
      </c>
      <c r="IP21" s="955">
        <v>135685.57333333336</v>
      </c>
      <c r="IQ21" s="794">
        <f>IP21*$IG21</f>
        <v>137674.23582000585</v>
      </c>
      <c r="IR21" s="955">
        <v>52965.553333333351</v>
      </c>
      <c r="IS21" s="794">
        <f>IR21*$IG21</f>
        <v>53741.837844738919</v>
      </c>
      <c r="IT21" s="955">
        <v>1053043.42</v>
      </c>
      <c r="IU21" s="794">
        <f>IT21*$IG21</f>
        <v>1068477.2490707345</v>
      </c>
      <c r="IV21" s="955">
        <v>917174.10305000003</v>
      </c>
      <c r="IW21" s="794">
        <f>IV21*$IG21</f>
        <v>930616.57661350991</v>
      </c>
      <c r="IX21" s="650">
        <f>IH21+IJ21+IL21+IN21+IP21+IT21+IV21+IR21</f>
        <v>8330522.5602593282</v>
      </c>
      <c r="IY21" s="650">
        <f>II21+IK21+IM21+IO21+IQ21+IU21+IW21+IS21</f>
        <v>8403107.5726111662</v>
      </c>
      <c r="IZ21" s="683">
        <f>IY21/HE21*100</f>
        <v>5.1300702324126899</v>
      </c>
      <c r="JD21" s="222">
        <v>16</v>
      </c>
      <c r="JE21" s="663">
        <v>16</v>
      </c>
      <c r="JF21" s="660">
        <f>HC21</f>
        <v>10</v>
      </c>
      <c r="JG21" s="729">
        <f>JF21</f>
        <v>10</v>
      </c>
      <c r="JH21" s="905">
        <f>HE21</f>
        <v>163801024</v>
      </c>
      <c r="JI21" s="905">
        <f>JH21*$JK$26</f>
        <v>163987095.72432321</v>
      </c>
      <c r="JJ21" s="906">
        <f>JG21/JF21</f>
        <v>1</v>
      </c>
      <c r="JK21" s="906">
        <f>JI21/JH21</f>
        <v>1.0011359619114666</v>
      </c>
      <c r="JL21" s="906">
        <f>LC22/LB22</f>
        <v>1.0309323983190171</v>
      </c>
      <c r="JM21" s="663" t="s">
        <v>238</v>
      </c>
      <c r="JN21" s="209"/>
      <c r="JO21" s="210"/>
      <c r="JP21" s="209"/>
      <c r="JQ21" s="222">
        <v>16</v>
      </c>
      <c r="JR21" s="663">
        <v>16</v>
      </c>
      <c r="JS21" s="914" t="str">
        <f>JM21</f>
        <v>Q3</v>
      </c>
      <c r="JT21" s="913">
        <f>JL21</f>
        <v>1.0309323983190171</v>
      </c>
      <c r="JU21" s="671">
        <f>HR21</f>
        <v>40163.783645914438</v>
      </c>
      <c r="JV21" s="671">
        <f>JU21*JL21</f>
        <v>41406.145799648686</v>
      </c>
      <c r="JW21" s="671">
        <f>HT21</f>
        <v>18206967</v>
      </c>
      <c r="JX21" s="671">
        <f>HE21/$HE$26*$JX$26</f>
        <v>18097157.39672675</v>
      </c>
      <c r="JY21" s="671">
        <f>HV21</f>
        <v>9402320</v>
      </c>
      <c r="JZ21" s="671">
        <f>HE21/$HE$26*$JZ$26</f>
        <v>8124161.8589744791</v>
      </c>
      <c r="KA21" s="671">
        <f>HX21</f>
        <v>225000</v>
      </c>
      <c r="KB21" s="671">
        <f>HE21/$HE$26*$KB$26</f>
        <v>354587.00182138442</v>
      </c>
      <c r="KC21" s="671">
        <f>SUM(JU21,JY21,KA21)</f>
        <v>9667483.7836459149</v>
      </c>
      <c r="KD21" s="671">
        <f>SUM(JV21,JZ21,KB21)</f>
        <v>8520155.0065955129</v>
      </c>
      <c r="KE21" s="211"/>
      <c r="KF21" s="210"/>
      <c r="KG21" s="209"/>
      <c r="KH21" s="245">
        <f>KH20+1</f>
        <v>16</v>
      </c>
      <c r="KI21" s="917">
        <v>15</v>
      </c>
      <c r="KJ21" s="918">
        <f>JJ20</f>
        <v>1</v>
      </c>
      <c r="KK21" s="918">
        <f>JK20</f>
        <v>1.0011359619114666</v>
      </c>
      <c r="KL21" s="898">
        <v>1.6406666700000001</v>
      </c>
      <c r="KM21" s="801">
        <f>II20*KM$6/KL21*JK20</f>
        <v>3125079.5345013351</v>
      </c>
      <c r="KN21" s="898">
        <v>1.6406666700000001</v>
      </c>
      <c r="KO21" s="801">
        <f>IK20*KO$6/KN21*KK21</f>
        <v>174855.00866967632</v>
      </c>
      <c r="KP21" s="898">
        <v>1.6406666700000001</v>
      </c>
      <c r="KQ21" s="801">
        <f>IM20*KQ$6/KP21*KJ21</f>
        <v>1294336.8016079334</v>
      </c>
      <c r="KR21" s="898">
        <v>1.6406666700000001</v>
      </c>
      <c r="KS21" s="801">
        <f>IO20*KS$6/KR21*KJ21</f>
        <v>1903977.5623253663</v>
      </c>
      <c r="KT21" s="898">
        <v>1.6406666700000001</v>
      </c>
      <c r="KU21" s="801">
        <f>IQ20*KU$6/KT21*KK21</f>
        <v>157636.17681974141</v>
      </c>
      <c r="KV21" s="898">
        <v>1.6406666700000001</v>
      </c>
      <c r="KW21" s="801">
        <f>IS20*KW$6/KV21*KK21</f>
        <v>65727.522297907097</v>
      </c>
      <c r="KX21" s="898">
        <v>1.6406666700000001</v>
      </c>
      <c r="KY21" s="801">
        <f>IU20*KY$6/KX21*$KK21</f>
        <v>328114.13079505076</v>
      </c>
      <c r="KZ21" s="898">
        <v>1.6406666700000001</v>
      </c>
      <c r="LA21" s="919">
        <f>IW20*LA$6/KZ21*$KK21</f>
        <v>611484.85737053014</v>
      </c>
      <c r="LB21" s="646">
        <f>IY20</f>
        <v>7333143.6794060785</v>
      </c>
      <c r="LC21" s="646">
        <f>KM21+KO21+KQ21+KS21+KU21+KY21+LA21+KW21</f>
        <v>7661211.5943875406</v>
      </c>
      <c r="LD21" s="16"/>
      <c r="LE21" s="220"/>
      <c r="LG21" s="222">
        <v>16</v>
      </c>
      <c r="LH21" s="922">
        <v>16</v>
      </c>
      <c r="LI21" s="650">
        <f>HY21</f>
        <v>8862023.8203000017</v>
      </c>
      <c r="LJ21" s="650">
        <f>HZ21</f>
        <v>9667483.7836459149</v>
      </c>
      <c r="LK21" s="794">
        <f>KD21</f>
        <v>8520155.0065955129</v>
      </c>
      <c r="LL21" s="650">
        <f>IX21</f>
        <v>8330522.5602593282</v>
      </c>
      <c r="LM21" s="650">
        <f>IY21</f>
        <v>8403107.5726111662</v>
      </c>
      <c r="LN21" s="794">
        <f>LC22</f>
        <v>8663035.8431647234</v>
      </c>
      <c r="LO21" s="650">
        <f>LI21-LL21</f>
        <v>531501.26004067343</v>
      </c>
      <c r="LP21" s="650">
        <f>LJ21-LM21</f>
        <v>1264376.2110347487</v>
      </c>
      <c r="LQ21" s="650">
        <f>LK21-LN21</f>
        <v>-142880.83656921051</v>
      </c>
      <c r="MA21" s="192">
        <f>MA20+1</f>
        <v>15</v>
      </c>
      <c r="MB21" s="194" t="s">
        <v>59</v>
      </c>
      <c r="MC21" s="320">
        <f>N21</f>
        <v>109957383.28231123</v>
      </c>
      <c r="MD21" s="331">
        <f>MC21/$MC$34*100</f>
        <v>5.0058819881965828</v>
      </c>
      <c r="ME21" s="194"/>
      <c r="MF21" s="332">
        <f>SUM(MF14:MF20)</f>
        <v>109957383.28231123</v>
      </c>
      <c r="MG21" s="331">
        <f>MF21/$MG$34*100</f>
        <v>5.0058819881965828</v>
      </c>
      <c r="MK21" s="192">
        <f>MK20+1</f>
        <v>15</v>
      </c>
      <c r="ML21" s="194" t="str">
        <f>MB21</f>
        <v>Total Operating Expenses</v>
      </c>
      <c r="MM21" s="981">
        <v>93608877.605802789</v>
      </c>
      <c r="MN21" s="333">
        <f>MC21</f>
        <v>109957383.28231123</v>
      </c>
      <c r="MO21" s="333">
        <f>MN21-MM21</f>
        <v>16348505.676508442</v>
      </c>
      <c r="MP21" s="945">
        <f>MO21/MM21</f>
        <v>0.17464695758188434</v>
      </c>
    </row>
    <row r="22" spans="1:357" s="29" customFormat="1" ht="16.5" x14ac:dyDescent="0.3">
      <c r="A22" s="7"/>
      <c r="B22" s="181">
        <f>B21+1</f>
        <v>17</v>
      </c>
      <c r="C22" s="194" t="s">
        <v>220</v>
      </c>
      <c r="D22" s="194"/>
      <c r="E22" s="199"/>
      <c r="F22" s="332">
        <f>F12-F21</f>
        <v>7158976.8429704905</v>
      </c>
      <c r="G22" s="334">
        <f>F22/F$24*100</f>
        <v>0.3440865991769031</v>
      </c>
      <c r="H22" s="332">
        <f>H12-H21</f>
        <v>5069183.3865407258</v>
      </c>
      <c r="I22" s="335">
        <f>H22/H$24*100</f>
        <v>0.24236717227577007</v>
      </c>
      <c r="J22" s="321">
        <f>H22-F22</f>
        <v>-2089793.4564297646</v>
      </c>
      <c r="K22" s="332">
        <f>K12-K21</f>
        <v>22581473.325630128</v>
      </c>
      <c r="L22" s="335">
        <f>K22/K$24*100</f>
        <v>1.0292041931202573</v>
      </c>
      <c r="M22" s="321">
        <f>K22-H22</f>
        <v>17512289.939089403</v>
      </c>
      <c r="N22" s="332">
        <f>N12-N21</f>
        <v>3948832.8293915391</v>
      </c>
      <c r="O22" s="335">
        <f>N22/N$24*100</f>
        <v>0.17977320435407651</v>
      </c>
      <c r="P22" s="321">
        <f>N22-K22</f>
        <v>-18632640.496238589</v>
      </c>
      <c r="Q22" s="332">
        <f>N22-F22</f>
        <v>-3210144.0135789514</v>
      </c>
      <c r="R22" s="336">
        <f>O22/G22-1</f>
        <v>-0.4775350019904413</v>
      </c>
      <c r="S22" s="12"/>
      <c r="T22" s="13"/>
      <c r="U22" s="12"/>
      <c r="V22" s="337">
        <v>11</v>
      </c>
      <c r="W22" s="809" t="s">
        <v>225</v>
      </c>
      <c r="X22" s="650">
        <f>X18-X7</f>
        <v>-3892245.9637429821</v>
      </c>
      <c r="Y22" s="650">
        <f>Y18-Y7</f>
        <v>-2348560.3008008949</v>
      </c>
      <c r="Z22" s="650">
        <f>Z18-Z7</f>
        <v>3030661.9809649047</v>
      </c>
      <c r="AA22" s="650">
        <f>AA18-AA7</f>
        <v>-3210144.2835789723</v>
      </c>
      <c r="AB22" s="230"/>
      <c r="AC22" s="12"/>
      <c r="AD22" s="13"/>
      <c r="AE22" s="12"/>
      <c r="AF22" s="12"/>
      <c r="AG22" s="12"/>
      <c r="AH22" s="12"/>
      <c r="AI22" s="12"/>
      <c r="AJ22" s="12"/>
      <c r="AK22" s="12"/>
      <c r="AL22" s="299"/>
      <c r="AM22" s="12"/>
      <c r="AN22" s="222">
        <v>18</v>
      </c>
      <c r="AO22" s="2"/>
      <c r="AP22" s="317" t="s">
        <v>226</v>
      </c>
      <c r="AQ22" s="5"/>
      <c r="AR22" s="240"/>
      <c r="AS22" s="338"/>
      <c r="AT22" s="234">
        <v>1025480397</v>
      </c>
      <c r="AU22" s="236"/>
      <c r="AV22" s="338"/>
      <c r="AW22" s="234">
        <v>1079178438.6666701</v>
      </c>
      <c r="AX22" s="236"/>
      <c r="AY22" s="235"/>
      <c r="AZ22" s="338"/>
      <c r="BA22" s="234">
        <v>1290136807.9999998</v>
      </c>
      <c r="BB22" s="236"/>
      <c r="BC22" s="235"/>
      <c r="BD22" s="338"/>
      <c r="BE22" s="234">
        <v>1470610844</v>
      </c>
      <c r="BF22" s="236"/>
      <c r="BG22" s="235"/>
      <c r="BH22" s="338"/>
      <c r="BI22" s="234">
        <v>1519641411.6666667</v>
      </c>
      <c r="BJ22" s="236"/>
      <c r="BK22" s="235"/>
      <c r="BL22" s="338"/>
      <c r="BM22" s="234">
        <v>1682130877</v>
      </c>
      <c r="BN22" s="236"/>
      <c r="BO22" s="235"/>
      <c r="BP22" s="338"/>
      <c r="BQ22" s="234">
        <v>1854790824</v>
      </c>
      <c r="BR22" s="236"/>
      <c r="BS22" s="235"/>
      <c r="BT22" s="1057">
        <v>1962055288</v>
      </c>
      <c r="BU22" s="1057"/>
      <c r="BV22" s="1057"/>
      <c r="BW22" s="339"/>
      <c r="BX22" s="12"/>
      <c r="BY22" s="12"/>
      <c r="BZ22" s="340"/>
      <c r="CA22" s="240"/>
      <c r="CB22" s="12"/>
      <c r="CC22" s="959">
        <v>2078388796</v>
      </c>
      <c r="CD22" s="824"/>
      <c r="CE22" s="723"/>
      <c r="CF22" s="853">
        <f>F24</f>
        <v>2080574152</v>
      </c>
      <c r="CG22" s="824"/>
      <c r="CH22" s="723"/>
      <c r="CI22" s="854">
        <f>CF22/AT22-1</f>
        <v>1.0288775466470472</v>
      </c>
      <c r="CJ22" s="723">
        <f>(CI22+1)^(1/(2022-2004))-1</f>
        <v>4.0087240631794696E-2</v>
      </c>
      <c r="CK22" s="12"/>
      <c r="CL22" s="13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3"/>
      <c r="CZ22" s="12"/>
      <c r="DA22" s="12"/>
      <c r="DB22" s="12"/>
      <c r="DC22" s="12"/>
      <c r="DD22" s="12"/>
      <c r="DE22" s="12"/>
      <c r="DF22" s="12"/>
      <c r="DG22" s="16"/>
      <c r="DH22" s="12"/>
      <c r="DI22" s="13"/>
      <c r="DJ22" s="12"/>
      <c r="DK22" s="12"/>
      <c r="DL22" s="12"/>
      <c r="DM22" s="12"/>
      <c r="DN22" s="16"/>
      <c r="DO22" s="12"/>
      <c r="DP22" s="12"/>
      <c r="DQ22" s="12"/>
      <c r="DR22" s="13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3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20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20"/>
      <c r="FI22" s="12"/>
      <c r="FJ22" s="192">
        <f>FJ21+1</f>
        <v>17</v>
      </c>
      <c r="FK22" s="310"/>
      <c r="FL22" s="879" t="s">
        <v>227</v>
      </c>
      <c r="FM22" s="880">
        <v>19302.772499999999</v>
      </c>
      <c r="FN22" s="880">
        <v>12055</v>
      </c>
      <c r="FO22" s="880">
        <v>17639.830000000002</v>
      </c>
      <c r="FP22" s="881">
        <f>FM22+FO22+FN22</f>
        <v>48997.602500000001</v>
      </c>
      <c r="FQ22" s="880">
        <v>0</v>
      </c>
      <c r="FR22" s="880">
        <v>0</v>
      </c>
      <c r="FS22" s="880">
        <v>0</v>
      </c>
      <c r="FT22" s="880">
        <v>0</v>
      </c>
      <c r="FU22" s="955">
        <v>0</v>
      </c>
      <c r="FV22" s="730"/>
      <c r="FW22" s="266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3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3"/>
      <c r="GX22" s="12"/>
      <c r="GY22" s="12"/>
      <c r="GZ22" s="192">
        <v>17</v>
      </c>
      <c r="HA22" s="886">
        <v>17</v>
      </c>
      <c r="HB22" s="886">
        <v>10</v>
      </c>
      <c r="HC22" s="886">
        <v>10</v>
      </c>
      <c r="HD22" s="887">
        <v>184309270</v>
      </c>
      <c r="HE22" s="887">
        <v>185961720</v>
      </c>
      <c r="HF22" s="800">
        <f>HC22/HB22</f>
        <v>1</v>
      </c>
      <c r="HG22" s="800">
        <f>HE22/HD22</f>
        <v>1.0089656369427322</v>
      </c>
      <c r="HH22" s="802">
        <v>0</v>
      </c>
      <c r="HI22" s="802">
        <v>0.2</v>
      </c>
      <c r="HJ22" s="802">
        <v>0.8</v>
      </c>
      <c r="HK22" s="12"/>
      <c r="HL22" s="13"/>
      <c r="HM22" s="12"/>
      <c r="HN22" s="267">
        <v>17</v>
      </c>
      <c r="HO22" s="892">
        <v>17</v>
      </c>
      <c r="HP22" s="799">
        <f>HG22</f>
        <v>1.0089656369427322</v>
      </c>
      <c r="HQ22" s="860">
        <v>14135.02</v>
      </c>
      <c r="HR22" s="801">
        <f>HP22*HQ22</f>
        <v>14261.749457498259</v>
      </c>
      <c r="HS22" s="860">
        <v>20326618</v>
      </c>
      <c r="HT22" s="975">
        <v>20549740</v>
      </c>
      <c r="HU22" s="860">
        <v>9521341.6389999986</v>
      </c>
      <c r="HV22" s="975">
        <v>10477708</v>
      </c>
      <c r="HW22" s="860">
        <v>225000</v>
      </c>
      <c r="HX22" s="955">
        <v>225000</v>
      </c>
      <c r="HY22" s="860">
        <f>SUM(HQ22,HU22,HW22)</f>
        <v>9760476.6589999981</v>
      </c>
      <c r="HZ22" s="860">
        <f>SUM(HR22,HV22,HX22)</f>
        <v>10716969.749457499</v>
      </c>
      <c r="IA22" s="206"/>
      <c r="IB22" s="207"/>
      <c r="IC22" s="206"/>
      <c r="ID22" s="208">
        <v>17</v>
      </c>
      <c r="IE22" s="892">
        <v>17</v>
      </c>
      <c r="IF22" s="896">
        <f>HF22</f>
        <v>1</v>
      </c>
      <c r="IG22" s="897">
        <f>HG22</f>
        <v>1.0089656369427322</v>
      </c>
      <c r="IH22" s="955">
        <v>3423698.7888018978</v>
      </c>
      <c r="II22" s="801">
        <f>IH22*$IG22</f>
        <v>3454394.4291435676</v>
      </c>
      <c r="IJ22" s="955">
        <v>303676.66150000005</v>
      </c>
      <c r="IK22" s="801">
        <f>IJ22*$IG22</f>
        <v>306399.31619499001</v>
      </c>
      <c r="IL22" s="955">
        <v>1525701.0546981017</v>
      </c>
      <c r="IM22" s="801">
        <f>IL22*IF22</f>
        <v>1525701.0546981017</v>
      </c>
      <c r="IN22" s="955">
        <v>2001256.6207513765</v>
      </c>
      <c r="IO22" s="995">
        <v>2001256.6207513765</v>
      </c>
      <c r="IP22" s="955">
        <v>90945.126999999993</v>
      </c>
      <c r="IQ22" s="801">
        <f>IP22*$IG22</f>
        <v>91760.507990392667</v>
      </c>
      <c r="IR22" s="955">
        <v>81740.587999999974</v>
      </c>
      <c r="IS22" s="801">
        <f>IR22*$IG22</f>
        <v>82473.444435493424</v>
      </c>
      <c r="IT22" s="955">
        <v>532527.18400000012</v>
      </c>
      <c r="IU22" s="801">
        <f>IT22*$IG22</f>
        <v>537301.62939387967</v>
      </c>
      <c r="IV22" s="955">
        <v>902633.89910000004</v>
      </c>
      <c r="IW22" s="801">
        <f>IV22*$IG22</f>
        <v>910726.58693153341</v>
      </c>
      <c r="IX22" s="860">
        <f>IH22+IJ22+IL22+IN22+IP22+IT22+IV22+IR22</f>
        <v>8862179.9238513745</v>
      </c>
      <c r="IY22" s="860">
        <f>II22+IK22+IM22+IO22+IQ22+IU22+IW22+IS22</f>
        <v>8910013.589539336</v>
      </c>
      <c r="IZ22" s="898">
        <f>IY22/HE22*100</f>
        <v>4.7913159705875685</v>
      </c>
      <c r="JA22" s="12"/>
      <c r="JB22" s="13"/>
      <c r="JC22" s="12"/>
      <c r="JD22" s="192">
        <v>17</v>
      </c>
      <c r="JE22" s="886">
        <v>17</v>
      </c>
      <c r="JF22" s="796">
        <f>HC22</f>
        <v>10</v>
      </c>
      <c r="JG22" s="804">
        <f>JF22</f>
        <v>10</v>
      </c>
      <c r="JH22" s="859">
        <f>HE22</f>
        <v>185961720</v>
      </c>
      <c r="JI22" s="859">
        <f>JH22*$JK$26</f>
        <v>186172965.43091083</v>
      </c>
      <c r="JJ22" s="904">
        <f>JG22/JF22</f>
        <v>1</v>
      </c>
      <c r="JK22" s="904">
        <f>JI22/JH22</f>
        <v>1.0011359619114666</v>
      </c>
      <c r="JL22" s="904">
        <f>LC23/LB23</f>
        <v>1.0309396091706344</v>
      </c>
      <c r="JM22" s="886" t="s">
        <v>238</v>
      </c>
      <c r="JN22" s="209"/>
      <c r="JO22" s="210"/>
      <c r="JP22" s="209"/>
      <c r="JQ22" s="192">
        <v>17</v>
      </c>
      <c r="JR22" s="886">
        <v>17</v>
      </c>
      <c r="JS22" s="910" t="str">
        <f>JM22</f>
        <v>Q3</v>
      </c>
      <c r="JT22" s="911">
        <f>JL22</f>
        <v>1.0309396091706344</v>
      </c>
      <c r="JU22" s="860">
        <f>HR22</f>
        <v>14261.749457498259</v>
      </c>
      <c r="JV22" s="860">
        <f>JU22*JL22</f>
        <v>14703.002411802763</v>
      </c>
      <c r="JW22" s="860">
        <f>HT22</f>
        <v>20549740</v>
      </c>
      <c r="JX22" s="860">
        <f>HE22/$HE$26*$JX$26</f>
        <v>20545527.948628873</v>
      </c>
      <c r="JY22" s="860">
        <f>HV22</f>
        <v>10477708</v>
      </c>
      <c r="JZ22" s="860">
        <f>HE22/$HE$26*$JZ$26</f>
        <v>9223282.4677170012</v>
      </c>
      <c r="KA22" s="860">
        <f>HX22</f>
        <v>225000</v>
      </c>
      <c r="KB22" s="860">
        <f>HE22/$HE$26*$KB$26</f>
        <v>402559.19736098708</v>
      </c>
      <c r="KC22" s="860">
        <f>SUM(JU22,JY22,KA22)</f>
        <v>10716969.749457499</v>
      </c>
      <c r="KD22" s="860">
        <f>SUM(JV22,JZ22,KB22)</f>
        <v>9640544.6674897913</v>
      </c>
      <c r="KE22" s="211"/>
      <c r="KF22" s="210"/>
      <c r="KG22" s="209"/>
      <c r="KH22" s="243">
        <f>KH21+1</f>
        <v>17</v>
      </c>
      <c r="KI22" s="891">
        <v>16</v>
      </c>
      <c r="KJ22" s="920">
        <f>JJ21</f>
        <v>1</v>
      </c>
      <c r="KK22" s="920">
        <f>JK21</f>
        <v>1.0011359619114666</v>
      </c>
      <c r="KL22" s="683">
        <v>1.6626666699999999</v>
      </c>
      <c r="KM22" s="794">
        <f>II21*KM$6/KL22*JK21</f>
        <v>2860727.5005720207</v>
      </c>
      <c r="KN22" s="683">
        <v>1.6626666699999999</v>
      </c>
      <c r="KO22" s="794">
        <f>IK21*KO$6/KN22*KK22</f>
        <v>62803.330794386748</v>
      </c>
      <c r="KP22" s="683">
        <v>1.6626666699999999</v>
      </c>
      <c r="KQ22" s="794">
        <f>IM21*KQ$6/KP22*KJ22</f>
        <v>1537414.6578477176</v>
      </c>
      <c r="KR22" s="683">
        <v>1.6626666699999999</v>
      </c>
      <c r="KS22" s="794">
        <f>IO21*KS$6/KR22*KJ22</f>
        <v>1942792.1678812166</v>
      </c>
      <c r="KT22" s="683">
        <v>1.6626666699999999</v>
      </c>
      <c r="KU22" s="794">
        <f>IQ21*KU$6/KT22*KK22</f>
        <v>141997.6012658375</v>
      </c>
      <c r="KV22" s="683">
        <v>1.6626666699999999</v>
      </c>
      <c r="KW22" s="794">
        <f>IS21*KW$6/KV22*KK22</f>
        <v>55429.485525145865</v>
      </c>
      <c r="KX22" s="683">
        <v>1.6626666699999999</v>
      </c>
      <c r="KY22" s="794">
        <f>IU21*KY$6/KX22*$KK22</f>
        <v>1102030.4959130054</v>
      </c>
      <c r="KZ22" s="683">
        <v>1.6626666699999999</v>
      </c>
      <c r="LA22" s="794">
        <f>IW21*LA$6/KZ22*$KK22</f>
        <v>959840.60336539336</v>
      </c>
      <c r="LB22" s="650">
        <f>IY21</f>
        <v>8403107.5726111662</v>
      </c>
      <c r="LC22" s="650">
        <f>KM22+KO22+KQ22+KS22+KU22+KY22+LA22+KW22</f>
        <v>8663035.8431647234</v>
      </c>
      <c r="LD22" s="16"/>
      <c r="LE22" s="220"/>
      <c r="LF22" s="12"/>
      <c r="LG22" s="192">
        <v>17</v>
      </c>
      <c r="LH22" s="921">
        <v>17</v>
      </c>
      <c r="LI22" s="860">
        <f>HY22</f>
        <v>9760476.6589999981</v>
      </c>
      <c r="LJ22" s="860">
        <f>HZ22</f>
        <v>10716969.749457499</v>
      </c>
      <c r="LK22" s="801">
        <f>KD22</f>
        <v>9640544.6674897913</v>
      </c>
      <c r="LL22" s="860">
        <f>IX22</f>
        <v>8862179.9238513745</v>
      </c>
      <c r="LM22" s="860">
        <f>IY22</f>
        <v>8910013.589539336</v>
      </c>
      <c r="LN22" s="801">
        <f>LC23</f>
        <v>9185685.9277047254</v>
      </c>
      <c r="LO22" s="860">
        <f>LI22-LL22</f>
        <v>898296.73514862359</v>
      </c>
      <c r="LP22" s="860">
        <f>LJ22-LM22</f>
        <v>1806956.159918163</v>
      </c>
      <c r="LQ22" s="860">
        <f>LK22-LN22</f>
        <v>454858.73978506587</v>
      </c>
      <c r="LR22" s="12"/>
      <c r="LS22" s="13"/>
      <c r="LT22" s="12"/>
      <c r="LU22" s="12"/>
      <c r="LV22" s="12"/>
      <c r="LW22" s="12"/>
      <c r="LX22" s="12"/>
      <c r="LY22" s="13"/>
      <c r="LZ22" s="12"/>
      <c r="MA22" s="222">
        <f>MA21+1</f>
        <v>16</v>
      </c>
      <c r="MB22" s="18"/>
      <c r="MC22" s="230"/>
      <c r="MD22" s="268"/>
      <c r="ME22" s="12"/>
      <c r="MF22" s="225"/>
      <c r="MG22" s="268"/>
      <c r="MH22" s="12"/>
      <c r="MI22" s="13"/>
      <c r="MJ22" s="12"/>
      <c r="MK22" s="222">
        <f>MK21+1</f>
        <v>16</v>
      </c>
      <c r="ML22" s="18"/>
      <c r="MM22" s="230"/>
      <c r="MN22" s="230"/>
      <c r="MO22" s="230"/>
      <c r="MP22" s="240"/>
      <c r="MQ22" s="12"/>
      <c r="MR22" s="13"/>
      <c r="MS22" s="12"/>
    </row>
    <row r="23" spans="1:357" ht="17.25" thickBot="1" x14ac:dyDescent="0.35">
      <c r="A23" s="5"/>
      <c r="B23" s="328" t="s">
        <v>228</v>
      </c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V23" s="342">
        <v>12</v>
      </c>
      <c r="W23" s="810" t="s">
        <v>229</v>
      </c>
      <c r="X23" s="811">
        <f>X19/X8-1</f>
        <v>-42.655121092350051</v>
      </c>
      <c r="Y23" s="811">
        <f>Y19/Y8-1</f>
        <v>-0.74115038320069748</v>
      </c>
      <c r="Z23" s="811">
        <f>Z19/Z8-1</f>
        <v>0.69461582498302632</v>
      </c>
      <c r="AA23" s="811">
        <f>AA19/AA8-1</f>
        <v>-0.47753502169514972</v>
      </c>
      <c r="AB23" s="229"/>
      <c r="AL23" s="299"/>
      <c r="AN23" s="302">
        <v>19</v>
      </c>
      <c r="AO23" s="343"/>
      <c r="AP23" s="344" t="s">
        <v>230</v>
      </c>
      <c r="AQ23" s="345"/>
      <c r="AR23" s="346"/>
      <c r="AS23" s="347"/>
      <c r="AT23" s="348">
        <v>158</v>
      </c>
      <c r="AU23" s="349"/>
      <c r="AV23" s="347"/>
      <c r="AW23" s="348">
        <v>165</v>
      </c>
      <c r="AX23" s="349"/>
      <c r="AY23" s="350"/>
      <c r="AZ23" s="347"/>
      <c r="BA23" s="348">
        <v>184</v>
      </c>
      <c r="BB23" s="349"/>
      <c r="BC23" s="350"/>
      <c r="BD23" s="347"/>
      <c r="BE23" s="348">
        <v>190</v>
      </c>
      <c r="BF23" s="349"/>
      <c r="BG23" s="350"/>
      <c r="BH23" s="347"/>
      <c r="BI23" s="348">
        <v>191</v>
      </c>
      <c r="BJ23" s="349"/>
      <c r="BK23" s="350"/>
      <c r="BL23" s="347"/>
      <c r="BM23" s="348">
        <v>195</v>
      </c>
      <c r="BN23" s="349"/>
      <c r="BO23" s="350"/>
      <c r="BP23" s="347"/>
      <c r="BQ23" s="348">
        <v>189</v>
      </c>
      <c r="BR23" s="349"/>
      <c r="BS23" s="350"/>
      <c r="BT23" s="1058">
        <v>179</v>
      </c>
      <c r="BU23" s="1058"/>
      <c r="BV23" s="1058"/>
      <c r="BW23" s="352"/>
      <c r="BX23" s="351"/>
      <c r="BY23" s="351"/>
      <c r="BZ23" s="353"/>
      <c r="CA23" s="354"/>
      <c r="CB23" s="29"/>
      <c r="CC23" s="960">
        <v>205</v>
      </c>
      <c r="CD23" s="856"/>
      <c r="CE23" s="857"/>
      <c r="CF23" s="855">
        <f>F25</f>
        <v>202</v>
      </c>
      <c r="CG23" s="856"/>
      <c r="CH23" s="857"/>
      <c r="CI23" s="858">
        <f>CF23/AT23-1</f>
        <v>0.27848101265822778</v>
      </c>
      <c r="CJ23" s="857">
        <f>(CI23+1)^(1/(2022-2004))-1</f>
        <v>1.3742047067800689E-2</v>
      </c>
      <c r="DD23" s="12"/>
      <c r="DU23" s="12"/>
      <c r="DV23" s="12"/>
      <c r="DW23" s="12"/>
      <c r="DX23" s="12"/>
      <c r="DY23" s="12"/>
      <c r="ER23" s="356"/>
      <c r="FH23" s="356"/>
      <c r="FJ23" s="222">
        <f>FJ22+1</f>
        <v>18</v>
      </c>
      <c r="FK23" s="242"/>
      <c r="FL23" s="877" t="s">
        <v>231</v>
      </c>
      <c r="FM23" s="650">
        <v>195427.44259999992</v>
      </c>
      <c r="FN23" s="650">
        <v>402633.97485000012</v>
      </c>
      <c r="FO23" s="650">
        <v>551207.68739999982</v>
      </c>
      <c r="FP23" s="794">
        <f>FM23+FO23+FN23</f>
        <v>1149269.1048499998</v>
      </c>
      <c r="FQ23" s="650">
        <v>196190.71665227265</v>
      </c>
      <c r="FR23" s="650">
        <v>402633.97485000012</v>
      </c>
      <c r="FS23" s="650">
        <v>557207.68739999982</v>
      </c>
      <c r="FT23" s="650">
        <v>1156032.3789022726</v>
      </c>
      <c r="FU23" s="955">
        <v>1156032.3789022726</v>
      </c>
      <c r="FV23" s="730"/>
      <c r="FW23" s="266"/>
      <c r="GZ23" s="222">
        <v>18</v>
      </c>
      <c r="HA23" s="663">
        <v>18</v>
      </c>
      <c r="HB23" s="999">
        <v>10</v>
      </c>
      <c r="HC23" s="999">
        <v>11</v>
      </c>
      <c r="HD23" s="682">
        <v>215577606</v>
      </c>
      <c r="HE23" s="682">
        <v>242653123</v>
      </c>
      <c r="HF23" s="724">
        <f>HC23/HB23</f>
        <v>1.1000000000000001</v>
      </c>
      <c r="HG23" s="724">
        <f>HE23/HD23</f>
        <v>1.1255952206835436</v>
      </c>
      <c r="HH23" s="723">
        <v>0</v>
      </c>
      <c r="HI23" s="1000">
        <v>0</v>
      </c>
      <c r="HJ23" s="1000">
        <v>1</v>
      </c>
      <c r="HN23" s="243">
        <v>18</v>
      </c>
      <c r="HO23" s="891">
        <v>18</v>
      </c>
      <c r="HP23" s="793">
        <f>HG23</f>
        <v>1.1255952206835436</v>
      </c>
      <c r="HQ23" s="650">
        <v>3765</v>
      </c>
      <c r="HR23" s="794">
        <f>HP23*HQ23</f>
        <v>4237.8660058735413</v>
      </c>
      <c r="HS23" s="650">
        <v>24108935</v>
      </c>
      <c r="HT23" s="975">
        <v>27145426</v>
      </c>
      <c r="HU23" s="650">
        <v>10760066.173500001</v>
      </c>
      <c r="HV23" s="975">
        <v>14076047</v>
      </c>
      <c r="HW23" s="650">
        <v>225000</v>
      </c>
      <c r="HX23" s="955">
        <v>247500</v>
      </c>
      <c r="HY23" s="650">
        <f>SUM(HQ23,HU23,HW23)</f>
        <v>10988831.173500001</v>
      </c>
      <c r="HZ23" s="650">
        <f>SUM(HR23,HV23,HX23)</f>
        <v>14327784.866005873</v>
      </c>
      <c r="IA23" s="206"/>
      <c r="IB23" s="207"/>
      <c r="IC23" s="206"/>
      <c r="ID23" s="244">
        <v>18</v>
      </c>
      <c r="IE23" s="891">
        <v>18</v>
      </c>
      <c r="IF23" s="899">
        <f>HF23</f>
        <v>1.1000000000000001</v>
      </c>
      <c r="IG23" s="900">
        <f>HG23</f>
        <v>1.1255952206835436</v>
      </c>
      <c r="IH23" s="955">
        <v>3459154.9380523348</v>
      </c>
      <c r="II23" s="794">
        <f>IH23*$IG23</f>
        <v>3893608.2658755872</v>
      </c>
      <c r="IJ23" s="955">
        <v>152230.48199999999</v>
      </c>
      <c r="IK23" s="794">
        <f>IJ23*$IG23</f>
        <v>171349.90298155221</v>
      </c>
      <c r="IL23" s="955">
        <v>1327169.919947665</v>
      </c>
      <c r="IM23" s="794">
        <f>IL23*IF23</f>
        <v>1459886.9119424315</v>
      </c>
      <c r="IN23" s="955">
        <v>2225370.6313538007</v>
      </c>
      <c r="IO23" s="995">
        <v>2567096.6016763039</v>
      </c>
      <c r="IP23" s="955">
        <v>185070.00999999998</v>
      </c>
      <c r="IQ23" s="794">
        <f>IP23*$IG23</f>
        <v>208313.91874785558</v>
      </c>
      <c r="IR23" s="955">
        <v>86296.820999999967</v>
      </c>
      <c r="IS23" s="794">
        <f>IR23*$IG23</f>
        <v>97135.289277783217</v>
      </c>
      <c r="IT23" s="955">
        <v>536489.61</v>
      </c>
      <c r="IU23" s="794">
        <f>IT23*$IG23</f>
        <v>603870.14096237824</v>
      </c>
      <c r="IV23" s="955">
        <v>1603178.8900000001</v>
      </c>
      <c r="IW23" s="794">
        <f>IV23*$IG23</f>
        <v>1804530.4964847486</v>
      </c>
      <c r="IX23" s="650">
        <f>IH23+IJ23+IL23+IN23+IP23+IT23+IV23+IR23</f>
        <v>9574961.3023538012</v>
      </c>
      <c r="IY23" s="650">
        <f>II23+IK23+IM23+IO23+IQ23+IU23+IW23+IS23</f>
        <v>10805791.52794864</v>
      </c>
      <c r="IZ23" s="683">
        <f>IY23/HE23*100</f>
        <v>4.453184609517117</v>
      </c>
      <c r="JD23" s="222">
        <v>18</v>
      </c>
      <c r="JE23" s="663">
        <v>18</v>
      </c>
      <c r="JF23" s="660">
        <f>HC23</f>
        <v>11</v>
      </c>
      <c r="JG23" s="729">
        <f>JF23</f>
        <v>11</v>
      </c>
      <c r="JH23" s="905">
        <f>HE23</f>
        <v>242653123</v>
      </c>
      <c r="JI23" s="905">
        <f>JH23*$JK$26</f>
        <v>242928767.70542642</v>
      </c>
      <c r="JJ23" s="906">
        <f>JG23/JF23</f>
        <v>1</v>
      </c>
      <c r="JK23" s="906">
        <f>JI23/JH23</f>
        <v>1.0011359619114666</v>
      </c>
      <c r="JL23" s="906">
        <f>LC24/LB24</f>
        <v>1.0447911504284639</v>
      </c>
      <c r="JM23" s="663" t="s">
        <v>425</v>
      </c>
      <c r="JN23" s="209"/>
      <c r="JO23" s="210"/>
      <c r="JP23" s="209"/>
      <c r="JQ23" s="222">
        <v>18</v>
      </c>
      <c r="JR23" s="663">
        <v>18</v>
      </c>
      <c r="JS23" s="914" t="str">
        <f>JM23</f>
        <v>Q2</v>
      </c>
      <c r="JT23" s="913">
        <f>JL23</f>
        <v>1.0447911504284639</v>
      </c>
      <c r="JU23" s="671">
        <f>HR23</f>
        <v>4237.8660058735413</v>
      </c>
      <c r="JV23" s="671">
        <f>JU23*JL23</f>
        <v>4427.6848996382969</v>
      </c>
      <c r="JW23" s="671">
        <f>HT23</f>
        <v>27145426</v>
      </c>
      <c r="JX23" s="671">
        <f>HE23/$HE$26*$JX$26</f>
        <v>26808939.605519783</v>
      </c>
      <c r="JY23" s="671">
        <f>HV23</f>
        <v>14076047</v>
      </c>
      <c r="JZ23" s="671">
        <f>HE23/$HE$26*$JZ$26</f>
        <v>12035048.369646598</v>
      </c>
      <c r="KA23" s="671">
        <f>HX23</f>
        <v>247500</v>
      </c>
      <c r="KB23" s="671">
        <f>HE23/$HE$26*$KB$26</f>
        <v>525281.47423037852</v>
      </c>
      <c r="KC23" s="671">
        <f>SUM(JU23,JY23,KA23)</f>
        <v>14327784.866005873</v>
      </c>
      <c r="KD23" s="671">
        <f>SUM(JV23,JZ23,KB23)</f>
        <v>12564757.528776614</v>
      </c>
      <c r="KE23" s="211"/>
      <c r="KF23" s="210"/>
      <c r="KG23" s="209"/>
      <c r="KH23" s="245">
        <f>KH22+1</f>
        <v>18</v>
      </c>
      <c r="KI23" s="917">
        <v>17</v>
      </c>
      <c r="KJ23" s="918">
        <f>JJ22</f>
        <v>1</v>
      </c>
      <c r="KK23" s="918">
        <f>JK22</f>
        <v>1.0011359619114666</v>
      </c>
      <c r="KL23" s="898">
        <v>1.6626666699999999</v>
      </c>
      <c r="KM23" s="801">
        <f>II22*KM$6/KL23*JK22</f>
        <v>3562872.3111690609</v>
      </c>
      <c r="KN23" s="898">
        <v>1.6626666699999999</v>
      </c>
      <c r="KO23" s="801">
        <f>IK22*KO$6/KN23*KK23</f>
        <v>316021.13256734115</v>
      </c>
      <c r="KP23" s="898">
        <v>1.6626666699999999</v>
      </c>
      <c r="KQ23" s="801">
        <f>IM22*KQ$6/KP23*KJ23</f>
        <v>1571826.9035040811</v>
      </c>
      <c r="KR23" s="898">
        <v>1.6626666699999999</v>
      </c>
      <c r="KS23" s="801">
        <f>IO22*KS$6/KR23*KJ23</f>
        <v>2061759.7317812166</v>
      </c>
      <c r="KT23" s="898">
        <v>1.6626666699999999</v>
      </c>
      <c r="KU23" s="801">
        <f>IQ22*KU$6/KT23*KK23</f>
        <v>94642.050838077557</v>
      </c>
      <c r="KV23" s="898">
        <v>1.6626666699999999</v>
      </c>
      <c r="KW23" s="801">
        <f>IS22*KW$6/KV23*KK23</f>
        <v>85063.346879820732</v>
      </c>
      <c r="KX23" s="898">
        <v>1.6626666699999999</v>
      </c>
      <c r="KY23" s="801">
        <f>IU22*KY$6/KX23*$KK23</f>
        <v>554174.43994317914</v>
      </c>
      <c r="KZ23" s="898">
        <v>1.6626666699999999</v>
      </c>
      <c r="LA23" s="919">
        <f>IW22*LA$6/KZ23*$KK23</f>
        <v>939326.01102194714</v>
      </c>
      <c r="LB23" s="646">
        <f>IY22</f>
        <v>8910013.589539336</v>
      </c>
      <c r="LC23" s="646">
        <f>KM23+KO23+KQ23+KS23+KU23+KY23+LA23+KW23</f>
        <v>9185685.9277047254</v>
      </c>
      <c r="LD23" s="16"/>
      <c r="LE23" s="220"/>
      <c r="LG23" s="222">
        <v>18</v>
      </c>
      <c r="LH23" s="922">
        <v>18</v>
      </c>
      <c r="LI23" s="650">
        <f>HY23</f>
        <v>10988831.173500001</v>
      </c>
      <c r="LJ23" s="650">
        <f>HZ23</f>
        <v>14327784.866005873</v>
      </c>
      <c r="LK23" s="794">
        <f>KD23</f>
        <v>12564757.528776614</v>
      </c>
      <c r="LL23" s="650">
        <f>IX23</f>
        <v>9574961.3023538012</v>
      </c>
      <c r="LM23" s="650">
        <f>IY23</f>
        <v>10805791.52794864</v>
      </c>
      <c r="LN23" s="794">
        <f>LC24</f>
        <v>11289795.361775609</v>
      </c>
      <c r="LO23" s="650">
        <f>LI23-LL23</f>
        <v>1413869.8711462002</v>
      </c>
      <c r="LP23" s="650">
        <f>LJ23-LM23</f>
        <v>3521993.338057233</v>
      </c>
      <c r="LQ23" s="650">
        <f>LK23-LN23</f>
        <v>1274962.1670010053</v>
      </c>
      <c r="MA23" s="192">
        <f>MA22+1</f>
        <v>17</v>
      </c>
      <c r="MB23" s="194" t="s">
        <v>232</v>
      </c>
      <c r="MC23" s="320">
        <f>'DCA 3 month Phase I'!LW13</f>
        <v>20074431.714334965</v>
      </c>
      <c r="MD23" s="331">
        <f>MC23/$MC$34*100</f>
        <v>0.91390166937737083</v>
      </c>
      <c r="ME23" s="194"/>
      <c r="MF23" s="357">
        <f>(MF8+MF21)/(1-'DCA 3 month Phase I'!LW11)-(MF8+MF21)</f>
        <v>20074431.714334965</v>
      </c>
      <c r="MG23" s="331">
        <f>MF23/$MG$34*100</f>
        <v>0.91390166937737083</v>
      </c>
      <c r="MK23" s="192">
        <f>MK22+1</f>
        <v>17</v>
      </c>
      <c r="ML23" s="194" t="str">
        <f>MB23</f>
        <v>Total Return</v>
      </c>
      <c r="MM23" s="981">
        <v>18998322.143907189</v>
      </c>
      <c r="MN23" s="320">
        <f>MC23</f>
        <v>20074431.714334965</v>
      </c>
      <c r="MO23" s="320">
        <f>MN23-MM23</f>
        <v>1076109.5704277754</v>
      </c>
      <c r="MP23" s="802">
        <f>MO23/MM23</f>
        <v>5.6642347796638792E-2</v>
      </c>
    </row>
    <row r="24" spans="1:357" s="29" customFormat="1" ht="16.5" x14ac:dyDescent="0.3">
      <c r="A24" s="7"/>
      <c r="B24" s="358">
        <f>B22+1</f>
        <v>18</v>
      </c>
      <c r="C24" s="359" t="s">
        <v>226</v>
      </c>
      <c r="D24" s="359"/>
      <c r="E24" s="360"/>
      <c r="F24" s="1059">
        <f>GQ6</f>
        <v>2080574152</v>
      </c>
      <c r="G24" s="1060"/>
      <c r="H24" s="1059">
        <f>GU6</f>
        <v>2091530523.2727273</v>
      </c>
      <c r="I24" s="1061"/>
      <c r="J24" s="1060"/>
      <c r="K24" s="1059">
        <f>HE26</f>
        <v>2194071252</v>
      </c>
      <c r="L24" s="1061"/>
      <c r="M24" s="1060"/>
      <c r="N24" s="1059">
        <f>JI26</f>
        <v>2196563633.3733158</v>
      </c>
      <c r="O24" s="1061"/>
      <c r="P24" s="1060"/>
      <c r="Q24" s="361">
        <f>N24-F24</f>
        <v>115989481.37331581</v>
      </c>
      <c r="R24" s="362">
        <f>N24/F24-1</f>
        <v>5.5748785142706092E-2</v>
      </c>
      <c r="S24" s="12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3"/>
      <c r="AE24" s="12"/>
      <c r="AF24" s="12"/>
      <c r="AG24" s="12"/>
      <c r="AH24" s="12"/>
      <c r="AI24" s="12"/>
      <c r="AJ24" s="12"/>
      <c r="AK24" s="12"/>
      <c r="AL24" s="29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3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3"/>
      <c r="CZ24" s="12"/>
      <c r="DA24" s="12"/>
      <c r="DB24" s="12"/>
      <c r="DC24" s="12"/>
      <c r="DD24" s="12"/>
      <c r="DE24" s="12"/>
      <c r="DF24" s="12"/>
      <c r="DG24" s="12"/>
      <c r="DH24" s="12"/>
      <c r="DI24" s="13"/>
      <c r="DJ24" s="12"/>
      <c r="DK24" s="12"/>
      <c r="DL24" s="12"/>
      <c r="DM24" s="12"/>
      <c r="DN24" s="16"/>
      <c r="DO24" s="12"/>
      <c r="DP24" s="12"/>
      <c r="DQ24" s="12"/>
      <c r="DR24" s="13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3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3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3"/>
      <c r="FI24" s="12"/>
      <c r="FJ24" s="363">
        <f>FJ23+1</f>
        <v>19</v>
      </c>
      <c r="FK24" s="364"/>
      <c r="FL24" s="365" t="s">
        <v>221</v>
      </c>
      <c r="FM24" s="366">
        <f>SUM(FM22:FM23)</f>
        <v>214730.21509999991</v>
      </c>
      <c r="FN24" s="366">
        <f>SUM(FN22:FN23)</f>
        <v>414688.97485000012</v>
      </c>
      <c r="FO24" s="366">
        <f>SUM(FO22:FO23)</f>
        <v>568847.51739999978</v>
      </c>
      <c r="FP24" s="367">
        <f>FM24+FO24+FN24</f>
        <v>1198266.7073499998</v>
      </c>
      <c r="FQ24" s="366">
        <v>196190.71665227265</v>
      </c>
      <c r="FR24" s="366">
        <v>402633.97485000012</v>
      </c>
      <c r="FS24" s="366">
        <v>557207.68739999982</v>
      </c>
      <c r="FT24" s="366">
        <v>1156032.3789022726</v>
      </c>
      <c r="FU24" s="971">
        <v>1156032.3789022726</v>
      </c>
      <c r="FV24" s="16"/>
      <c r="FW24" s="266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3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3"/>
      <c r="GX24" s="12"/>
      <c r="GY24" s="12"/>
      <c r="GZ24" s="192">
        <v>19</v>
      </c>
      <c r="HA24" s="886">
        <v>19</v>
      </c>
      <c r="HB24" s="886">
        <v>11</v>
      </c>
      <c r="HC24" s="886">
        <v>11</v>
      </c>
      <c r="HD24" s="887">
        <v>281168952.5</v>
      </c>
      <c r="HE24" s="887">
        <v>288278105</v>
      </c>
      <c r="HF24" s="800">
        <f>HC24/HB24</f>
        <v>1</v>
      </c>
      <c r="HG24" s="800">
        <f>HE24/HD24</f>
        <v>1.025284272807468</v>
      </c>
      <c r="HH24" s="802">
        <v>0</v>
      </c>
      <c r="HI24" s="1000">
        <v>9.0909090909090912E-2</v>
      </c>
      <c r="HJ24" s="1000">
        <v>0.90909090909090906</v>
      </c>
      <c r="HK24" s="12"/>
      <c r="HL24" s="13"/>
      <c r="HM24" s="12"/>
      <c r="HN24" s="267">
        <v>19</v>
      </c>
      <c r="HO24" s="892">
        <v>19</v>
      </c>
      <c r="HP24" s="799">
        <f>HG24</f>
        <v>1.025284272807468</v>
      </c>
      <c r="HQ24" s="860">
        <v>1328.64</v>
      </c>
      <c r="HR24" s="801">
        <f>HP24*HQ24</f>
        <v>1362.2336962229144</v>
      </c>
      <c r="HS24" s="860">
        <v>32365939</v>
      </c>
      <c r="HT24" s="975">
        <v>32214175</v>
      </c>
      <c r="HU24" s="860">
        <v>14825604.0823</v>
      </c>
      <c r="HV24" s="975">
        <v>16732387</v>
      </c>
      <c r="HW24" s="860">
        <v>247500</v>
      </c>
      <c r="HX24" s="955">
        <v>247500</v>
      </c>
      <c r="HY24" s="860">
        <f>SUM(HQ24,HU24,HW24)</f>
        <v>15074432.7223</v>
      </c>
      <c r="HZ24" s="860">
        <f>SUM(HR24,HV24,HX24)</f>
        <v>16981249.233696222</v>
      </c>
      <c r="IA24" s="206"/>
      <c r="IB24" s="207"/>
      <c r="IC24" s="206"/>
      <c r="ID24" s="208">
        <v>19</v>
      </c>
      <c r="IE24" s="892">
        <v>19</v>
      </c>
      <c r="IF24" s="896">
        <f>HF24</f>
        <v>1</v>
      </c>
      <c r="IG24" s="897">
        <f>HG24</f>
        <v>1.025284272807468</v>
      </c>
      <c r="IH24" s="955">
        <v>4832384.6993265636</v>
      </c>
      <c r="II24" s="801">
        <f>IH24*$IG24</f>
        <v>4954568.0323749706</v>
      </c>
      <c r="IJ24" s="955">
        <v>73302.798999999999</v>
      </c>
      <c r="IK24" s="801">
        <f>IJ24*$IG24</f>
        <v>75156.206967466991</v>
      </c>
      <c r="IL24" s="955">
        <v>1795439.9916734365</v>
      </c>
      <c r="IM24" s="801">
        <f>IL24*IF24</f>
        <v>1795439.9916734365</v>
      </c>
      <c r="IN24" s="955">
        <v>2524707.7237054296</v>
      </c>
      <c r="IO24" s="995">
        <v>2594062.5496446453</v>
      </c>
      <c r="IP24" s="955">
        <v>136160.67300000007</v>
      </c>
      <c r="IQ24" s="801">
        <f>IP24*$IG24</f>
        <v>139603.39660178052</v>
      </c>
      <c r="IR24" s="955">
        <v>123511.94300000001</v>
      </c>
      <c r="IS24" s="801">
        <f>IR24*$IG24</f>
        <v>126634.85266179245</v>
      </c>
      <c r="IT24" s="955">
        <v>1057746.7799999998</v>
      </c>
      <c r="IU24" s="801">
        <f>IT24*$IG24</f>
        <v>1084491.1381467406</v>
      </c>
      <c r="IV24" s="955">
        <v>1391412.84</v>
      </c>
      <c r="IW24" s="801">
        <f>IV24*$IG24</f>
        <v>1426593.7018343739</v>
      </c>
      <c r="IX24" s="860">
        <f>IH24+IJ24+IL24+IN24+IP24+IT24+IV24+IR24</f>
        <v>11934667.449705429</v>
      </c>
      <c r="IY24" s="860">
        <f>II24+IK24+IM24+IO24+IQ24+IU24+IW24+IS24</f>
        <v>12196549.869905207</v>
      </c>
      <c r="IZ24" s="898">
        <f>IY24/HE24*100</f>
        <v>4.2308276828395304</v>
      </c>
      <c r="JA24" s="12"/>
      <c r="JB24" s="13"/>
      <c r="JC24" s="12"/>
      <c r="JD24" s="192">
        <v>19</v>
      </c>
      <c r="JE24" s="886">
        <v>19</v>
      </c>
      <c r="JF24" s="796">
        <f>HC24</f>
        <v>11</v>
      </c>
      <c r="JG24" s="804">
        <f>JF24</f>
        <v>11</v>
      </c>
      <c r="JH24" s="859">
        <f>HE24</f>
        <v>288278105</v>
      </c>
      <c r="JI24" s="859">
        <f>JH24*$JK$26</f>
        <v>288605577.94718975</v>
      </c>
      <c r="JJ24" s="904">
        <f>JG24/JF24</f>
        <v>1</v>
      </c>
      <c r="JK24" s="904">
        <f>JI24/JH24</f>
        <v>1.0011359619114666</v>
      </c>
      <c r="JL24" s="904">
        <f>LC25/LB25</f>
        <v>1.0309816757120893</v>
      </c>
      <c r="JM24" s="886" t="s">
        <v>238</v>
      </c>
      <c r="JN24" s="209"/>
      <c r="JO24" s="210"/>
      <c r="JP24" s="209"/>
      <c r="JQ24" s="192">
        <v>19</v>
      </c>
      <c r="JR24" s="886">
        <v>19</v>
      </c>
      <c r="JS24" s="910" t="str">
        <f>JM24</f>
        <v>Q3</v>
      </c>
      <c r="JT24" s="911">
        <f>JL24</f>
        <v>1.0309816757120893</v>
      </c>
      <c r="JU24" s="860">
        <f>HR24</f>
        <v>1362.2336962229144</v>
      </c>
      <c r="JV24" s="860">
        <f>JU24*JL24</f>
        <v>1404.4379788433735</v>
      </c>
      <c r="JW24" s="860">
        <f>HT24</f>
        <v>32214175</v>
      </c>
      <c r="JX24" s="860">
        <f>HE24/$HE$26*$JX$26</f>
        <v>31849704.677152205</v>
      </c>
      <c r="JY24" s="860">
        <f>HV24</f>
        <v>16732387</v>
      </c>
      <c r="JZ24" s="860">
        <f>HE24/$HE$26*$JZ$26</f>
        <v>14297944.715036947</v>
      </c>
      <c r="KA24" s="860">
        <f>HX24</f>
        <v>247500</v>
      </c>
      <c r="KB24" s="860">
        <f>HE24/$HE$26*$KB$26</f>
        <v>624047.80169567338</v>
      </c>
      <c r="KC24" s="860">
        <f>SUM(JU24,JY24,KA24)</f>
        <v>16981249.233696222</v>
      </c>
      <c r="KD24" s="860">
        <f>SUM(JV24,JZ24,KB24)</f>
        <v>14923396.954711463</v>
      </c>
      <c r="KE24" s="211"/>
      <c r="KF24" s="210"/>
      <c r="KG24" s="209"/>
      <c r="KH24" s="243">
        <f>KH23+1</f>
        <v>19</v>
      </c>
      <c r="KI24" s="891">
        <v>18</v>
      </c>
      <c r="KJ24" s="920">
        <f>JJ23</f>
        <v>1</v>
      </c>
      <c r="KK24" s="920">
        <f>JK23</f>
        <v>1.0011359619114666</v>
      </c>
      <c r="KL24" s="683">
        <v>1.6406666700000001</v>
      </c>
      <c r="KM24" s="794">
        <f>II23*KM$6/KL24*JK23</f>
        <v>4069728.3743383503</v>
      </c>
      <c r="KN24" s="683">
        <v>1.6406666700000001</v>
      </c>
      <c r="KO24" s="794">
        <f>IK23*KO$6/KN24*KK24</f>
        <v>179100.59628130781</v>
      </c>
      <c r="KP24" s="683">
        <v>1.6406666700000001</v>
      </c>
      <c r="KQ24" s="794">
        <f>IM23*KQ$6/KP24*KJ24</f>
        <v>1524190.7511266959</v>
      </c>
      <c r="KR24" s="683">
        <v>1.6406666700000001</v>
      </c>
      <c r="KS24" s="794">
        <f>IO23*KS$6/KR24*KJ24</f>
        <v>2680169.8580321865</v>
      </c>
      <c r="KT24" s="683">
        <v>1.6406666700000001</v>
      </c>
      <c r="KU24" s="794">
        <f>IQ23*KU$6/KT24*KK24</f>
        <v>217736.61036419493</v>
      </c>
      <c r="KV24" s="683">
        <v>1.6406666700000001</v>
      </c>
      <c r="KW24" s="794">
        <f>IS23*KW$6/KV24*KK24</f>
        <v>101529.02293432453</v>
      </c>
      <c r="KX24" s="683">
        <v>1.6406666700000001</v>
      </c>
      <c r="KY24" s="794">
        <f>IU23*KY$6/KX24*$KK24</f>
        <v>631185.08059198211</v>
      </c>
      <c r="KZ24" s="683">
        <v>1.6406666700000001</v>
      </c>
      <c r="LA24" s="794">
        <f>IW23*LA$6/KZ24*$KK24</f>
        <v>1886155.0681065649</v>
      </c>
      <c r="LB24" s="650">
        <f>IY23</f>
        <v>10805791.52794864</v>
      </c>
      <c r="LC24" s="650">
        <f>KM24+KO24+KQ24+KS24+KU24+KY24+LA24+KW24</f>
        <v>11289795.361775609</v>
      </c>
      <c r="LD24" s="16"/>
      <c r="LE24" s="220"/>
      <c r="LF24" s="12"/>
      <c r="LG24" s="192">
        <v>19</v>
      </c>
      <c r="LH24" s="921">
        <v>19</v>
      </c>
      <c r="LI24" s="860">
        <f>HY24</f>
        <v>15074432.7223</v>
      </c>
      <c r="LJ24" s="860">
        <f>HZ24</f>
        <v>16981249.233696222</v>
      </c>
      <c r="LK24" s="801">
        <f>KD24</f>
        <v>14923396.954711463</v>
      </c>
      <c r="LL24" s="860">
        <f>IX24</f>
        <v>11934667.449705429</v>
      </c>
      <c r="LM24" s="860">
        <f>IY24</f>
        <v>12196549.869905207</v>
      </c>
      <c r="LN24" s="801">
        <f>LC25</f>
        <v>12574419.422780935</v>
      </c>
      <c r="LO24" s="860">
        <f>LI24-LL24</f>
        <v>3139765.2725945711</v>
      </c>
      <c r="LP24" s="860">
        <f>LJ24-LM24</f>
        <v>4784699.363791015</v>
      </c>
      <c r="LQ24" s="860">
        <f>LK24-LN24</f>
        <v>2348977.5319305286</v>
      </c>
      <c r="LR24" s="12"/>
      <c r="LS24" s="13"/>
      <c r="LT24" s="12"/>
      <c r="LU24" s="12"/>
      <c r="LV24" s="12"/>
      <c r="LW24" s="12"/>
      <c r="LX24" s="12"/>
      <c r="LY24" s="13"/>
      <c r="LZ24" s="12"/>
      <c r="MA24" s="293">
        <f>MA23+1</f>
        <v>18</v>
      </c>
      <c r="MB24" s="816" t="s">
        <v>233</v>
      </c>
      <c r="MC24" s="932">
        <f>1-(MC8+MC21)/(MC8+MC21+MC23)</f>
        <v>5.3900000000000059E-2</v>
      </c>
      <c r="MD24" s="930"/>
      <c r="ME24" s="839"/>
      <c r="MF24" s="933">
        <f>1-(MF8+MF21)/(MF8+MF21+MF23)</f>
        <v>5.3900000000000059E-2</v>
      </c>
      <c r="MG24" s="930"/>
      <c r="MH24" s="12"/>
      <c r="MI24" s="13"/>
      <c r="MJ24" s="12"/>
      <c r="MK24" s="293">
        <f>MK23+1</f>
        <v>18</v>
      </c>
      <c r="ML24" s="941" t="str">
        <f>MB24</f>
        <v>Pre-Tax Return</v>
      </c>
      <c r="MM24" s="982">
        <v>5.3900000000000059E-2</v>
      </c>
      <c r="MN24" s="942">
        <f>MC24</f>
        <v>5.3900000000000059E-2</v>
      </c>
      <c r="MO24" s="942">
        <f>MN24-MM24</f>
        <v>0</v>
      </c>
      <c r="MP24" s="943">
        <f>MO24/MM24</f>
        <v>0</v>
      </c>
      <c r="MQ24" s="12"/>
      <c r="MR24" s="13"/>
      <c r="MS24" s="12"/>
    </row>
    <row r="25" spans="1:357" ht="17.25" thickBot="1" x14ac:dyDescent="0.35">
      <c r="A25" s="5"/>
      <c r="B25" s="368">
        <f>B24+1</f>
        <v>19</v>
      </c>
      <c r="C25" s="369" t="s">
        <v>234</v>
      </c>
      <c r="D25" s="369"/>
      <c r="E25" s="370"/>
      <c r="F25" s="1051">
        <f>HB26</f>
        <v>202</v>
      </c>
      <c r="G25" s="1052"/>
      <c r="H25" s="1051">
        <f>HB26</f>
        <v>202</v>
      </c>
      <c r="I25" s="1053"/>
      <c r="J25" s="1052"/>
      <c r="K25" s="1051">
        <f>JF26</f>
        <v>221</v>
      </c>
      <c r="L25" s="1053"/>
      <c r="M25" s="1052"/>
      <c r="N25" s="1051">
        <f>JG26</f>
        <v>219</v>
      </c>
      <c r="O25" s="1053"/>
      <c r="P25" s="1052"/>
      <c r="Q25" s="371">
        <f>N25-F25</f>
        <v>17</v>
      </c>
      <c r="R25" s="372">
        <f>N25/F25-1</f>
        <v>8.4158415841584233E-2</v>
      </c>
      <c r="AL25" s="299"/>
      <c r="DD25" s="12"/>
      <c r="DU25" s="12"/>
      <c r="DV25" s="12"/>
      <c r="DW25" s="12"/>
      <c r="DX25" s="12"/>
      <c r="DY25" s="12"/>
      <c r="FJ25" s="222">
        <f>FJ24+1</f>
        <v>20</v>
      </c>
      <c r="FK25" s="307" t="s">
        <v>235</v>
      </c>
      <c r="FL25" s="308"/>
      <c r="FM25" s="329"/>
      <c r="FN25" s="329"/>
      <c r="FO25" s="329"/>
      <c r="FP25" s="330"/>
      <c r="FQ25" s="329"/>
      <c r="FR25" s="329"/>
      <c r="FS25" s="329"/>
      <c r="FT25" s="329"/>
      <c r="FU25" s="329"/>
      <c r="FV25" s="16"/>
      <c r="FW25" s="266"/>
      <c r="GZ25" s="297">
        <v>20</v>
      </c>
      <c r="HA25" s="668">
        <v>20</v>
      </c>
      <c r="HB25" s="668">
        <v>10</v>
      </c>
      <c r="HC25" s="668">
        <v>10</v>
      </c>
      <c r="HD25" s="889">
        <v>345437324</v>
      </c>
      <c r="HE25" s="889">
        <v>354093613</v>
      </c>
      <c r="HF25" s="728">
        <f>HC25/HB25</f>
        <v>1</v>
      </c>
      <c r="HG25" s="728">
        <f>HE25/HD25</f>
        <v>1.0250589279113336</v>
      </c>
      <c r="HH25" s="726">
        <v>0</v>
      </c>
      <c r="HI25" s="726">
        <v>0</v>
      </c>
      <c r="HJ25" s="726">
        <v>1</v>
      </c>
      <c r="HN25" s="373">
        <v>20</v>
      </c>
      <c r="HO25" s="893">
        <v>20</v>
      </c>
      <c r="HP25" s="894">
        <f>HG25</f>
        <v>1.0250589279113336</v>
      </c>
      <c r="HQ25" s="727">
        <v>74981.02</v>
      </c>
      <c r="HR25" s="895">
        <f>HP25*HQ25</f>
        <v>76859.963974898259</v>
      </c>
      <c r="HS25" s="727">
        <v>38245984</v>
      </c>
      <c r="HT25" s="976">
        <v>39214260</v>
      </c>
      <c r="HU25" s="727">
        <v>16742232.458199998</v>
      </c>
      <c r="HV25" s="976">
        <v>20224278</v>
      </c>
      <c r="HW25" s="727">
        <v>225000</v>
      </c>
      <c r="HX25" s="968">
        <v>225000</v>
      </c>
      <c r="HY25" s="727">
        <f>SUM(HQ25,HU25,HW25)</f>
        <v>17042213.4782</v>
      </c>
      <c r="HZ25" s="727">
        <f>SUM(HR25,HV25,HX25)</f>
        <v>20526137.963974897</v>
      </c>
      <c r="IA25" s="206"/>
      <c r="IB25" s="207"/>
      <c r="IC25" s="206"/>
      <c r="ID25" s="374">
        <v>20</v>
      </c>
      <c r="IE25" s="893">
        <v>20</v>
      </c>
      <c r="IF25" s="901">
        <f>HF25</f>
        <v>1</v>
      </c>
      <c r="IG25" s="902">
        <f>HG25</f>
        <v>1.0250589279113336</v>
      </c>
      <c r="IH25" s="968">
        <v>5724380.0135961343</v>
      </c>
      <c r="II25" s="895">
        <f>IH25*$IG25</f>
        <v>5867826.8396939188</v>
      </c>
      <c r="IJ25" s="968">
        <v>219612.97514999998</v>
      </c>
      <c r="IK25" s="895">
        <f>IJ25*$IG25</f>
        <v>225116.24086267731</v>
      </c>
      <c r="IL25" s="968">
        <v>2632646.793253866</v>
      </c>
      <c r="IM25" s="895">
        <f>IL25*IF25</f>
        <v>2632646.793253866</v>
      </c>
      <c r="IN25" s="968">
        <v>2694508.4728766764</v>
      </c>
      <c r="IO25" s="996">
        <v>2694508.4728766764</v>
      </c>
      <c r="IP25" s="968">
        <v>401825.30300000007</v>
      </c>
      <c r="IQ25" s="895">
        <f>IP25*$HG25</f>
        <v>411894.61430082686</v>
      </c>
      <c r="IR25" s="968">
        <v>156788.33400000003</v>
      </c>
      <c r="IS25" s="895">
        <f>IR25*$IG25</f>
        <v>160717.28155904412</v>
      </c>
      <c r="IT25" s="968">
        <v>1244707.0171640001</v>
      </c>
      <c r="IU25" s="895">
        <f>IT25*$IG25</f>
        <v>1275898.0405778438</v>
      </c>
      <c r="IV25" s="968">
        <v>1610495.5785100001</v>
      </c>
      <c r="IW25" s="895">
        <f>IV25*$IG25</f>
        <v>1650852.8711134037</v>
      </c>
      <c r="IX25" s="727">
        <f>IH25+IJ25+IL25+IN25+IP25+IT25+IV25+IR25</f>
        <v>14684964.487550676</v>
      </c>
      <c r="IY25" s="727">
        <f>II25+IK25+IM25+IO25+IQ25+IU25+IW25+IS25</f>
        <v>14919461.154238256</v>
      </c>
      <c r="IZ25" s="903">
        <f>IY25/HE25*100</f>
        <v>4.2134228369259672</v>
      </c>
      <c r="JD25" s="297">
        <v>20</v>
      </c>
      <c r="JE25" s="668">
        <v>20</v>
      </c>
      <c r="JF25" s="665">
        <f>HC25</f>
        <v>10</v>
      </c>
      <c r="JG25" s="907">
        <f>JF25</f>
        <v>10</v>
      </c>
      <c r="JH25" s="908">
        <f>HE25</f>
        <v>354093613</v>
      </c>
      <c r="JI25" s="908">
        <f>JH25*$JK$26</f>
        <v>354495849.85746157</v>
      </c>
      <c r="JJ25" s="909">
        <f>JG25/JF25</f>
        <v>1</v>
      </c>
      <c r="JK25" s="909">
        <f>JI25/JH25</f>
        <v>1.0011359619114666</v>
      </c>
      <c r="JL25" s="909">
        <f>LC26/LB26</f>
        <v>1.0309849949692536</v>
      </c>
      <c r="JM25" s="668" t="s">
        <v>238</v>
      </c>
      <c r="JN25" s="209"/>
      <c r="JO25" s="210"/>
      <c r="JP25" s="209"/>
      <c r="JQ25" s="297">
        <v>20</v>
      </c>
      <c r="JR25" s="668">
        <v>20</v>
      </c>
      <c r="JS25" s="915" t="str">
        <f>JM25</f>
        <v>Q3</v>
      </c>
      <c r="JT25" s="916">
        <f>JL25</f>
        <v>1.0309849949692536</v>
      </c>
      <c r="JU25" s="673">
        <f>HR25</f>
        <v>76859.963974898259</v>
      </c>
      <c r="JV25" s="673">
        <f>JU25*JL25</f>
        <v>79241.469571997484</v>
      </c>
      <c r="JW25" s="673">
        <f>HT25</f>
        <v>39214260</v>
      </c>
      <c r="JX25" s="673">
        <f>HE25/$HE$26*$JX$26</f>
        <v>39121170.864210531</v>
      </c>
      <c r="JY25" s="673">
        <f>HV25</f>
        <v>20224278</v>
      </c>
      <c r="JZ25" s="673">
        <f>HE25/$HE$26*$JZ$26</f>
        <v>17562245.674612328</v>
      </c>
      <c r="KA25" s="673">
        <f>HX25</f>
        <v>225000</v>
      </c>
      <c r="KB25" s="673">
        <f>HE25/$HE$26*$KB$26</f>
        <v>766521.41440685734</v>
      </c>
      <c r="KC25" s="673">
        <f>SUM(JU25,JY25,KA25)</f>
        <v>20526137.963974897</v>
      </c>
      <c r="KD25" s="673">
        <f>SUM(JV25,JZ25,KB25)</f>
        <v>18408008.558591183</v>
      </c>
      <c r="KE25" s="211"/>
      <c r="KF25" s="210"/>
      <c r="KG25" s="209"/>
      <c r="KH25" s="245">
        <f>KH24+1</f>
        <v>20</v>
      </c>
      <c r="KI25" s="917">
        <v>19</v>
      </c>
      <c r="KJ25" s="918">
        <f>JJ24</f>
        <v>1</v>
      </c>
      <c r="KK25" s="918">
        <f>JK24</f>
        <v>1.0011359619114666</v>
      </c>
      <c r="KL25" s="898">
        <v>1.6626666699999999</v>
      </c>
      <c r="KM25" s="801">
        <f>II24*KM$6/KL25*JK24</f>
        <v>5110155.6635872247</v>
      </c>
      <c r="KN25" s="898">
        <v>1.6626666699999999</v>
      </c>
      <c r="KO25" s="801">
        <f>IK24*KO$6/KN25*KK25</f>
        <v>77516.327191179182</v>
      </c>
      <c r="KP25" s="898">
        <v>1.6626666699999999</v>
      </c>
      <c r="KQ25" s="801">
        <f>IM24*KQ$6/KP25*KJ25</f>
        <v>1849720.7390984457</v>
      </c>
      <c r="KR25" s="898">
        <v>1.6626666699999999</v>
      </c>
      <c r="KS25" s="801">
        <f>IO24*KS$6/KR25*KJ25</f>
        <v>2672487.7015377465</v>
      </c>
      <c r="KT25" s="898">
        <v>1.6626666699999999</v>
      </c>
      <c r="KU25" s="801">
        <f>IQ24*KU$6/KT25*KK25</f>
        <v>143987.34322326712</v>
      </c>
      <c r="KV25" s="898">
        <v>1.6626666699999999</v>
      </c>
      <c r="KW25" s="801">
        <f>IS24*KW$6/KV25*KK25</f>
        <v>130611.54984827079</v>
      </c>
      <c r="KX25" s="898">
        <v>1.6626666699999999</v>
      </c>
      <c r="KY25" s="801">
        <f>IU24*KY$6/KX25*$KK25</f>
        <v>1118547.2669863019</v>
      </c>
      <c r="KZ25" s="898">
        <v>1.6626666699999999</v>
      </c>
      <c r="LA25" s="919">
        <f>IW24*LA$6/KZ25*$KK25</f>
        <v>1471392.8313084997</v>
      </c>
      <c r="LB25" s="646">
        <f>IY24</f>
        <v>12196549.869905207</v>
      </c>
      <c r="LC25" s="646">
        <f>KM25+KO25+KQ25+KS25+KU25+KY25+LA25+KW25</f>
        <v>12574419.422780935</v>
      </c>
      <c r="LD25" s="16"/>
      <c r="LE25" s="220"/>
      <c r="LG25" s="222">
        <v>20</v>
      </c>
      <c r="LH25" s="922">
        <v>20</v>
      </c>
      <c r="LI25" s="650">
        <f>HY25</f>
        <v>17042213.4782</v>
      </c>
      <c r="LJ25" s="650">
        <f>HZ25</f>
        <v>20526137.963974897</v>
      </c>
      <c r="LK25" s="794">
        <f>KD25</f>
        <v>18408008.558591183</v>
      </c>
      <c r="LL25" s="650">
        <f>IX25</f>
        <v>14684964.487550676</v>
      </c>
      <c r="LM25" s="650">
        <f>IY25</f>
        <v>14919461.154238256</v>
      </c>
      <c r="LN25" s="794">
        <f>LC26</f>
        <v>15381740.5830463</v>
      </c>
      <c r="LO25" s="650">
        <f>LI25-LL25</f>
        <v>2357248.9906493239</v>
      </c>
      <c r="LP25" s="650">
        <f>LJ25-LM25</f>
        <v>5606676.8097366411</v>
      </c>
      <c r="LQ25" s="650">
        <f>LK25-LN25</f>
        <v>3026267.9755448829</v>
      </c>
      <c r="MA25" s="312">
        <f>MA24+1</f>
        <v>19</v>
      </c>
      <c r="MB25" s="375" t="s">
        <v>236</v>
      </c>
      <c r="MC25" s="376">
        <f>MC21+MC23-MC10</f>
        <v>129696190.04559426</v>
      </c>
      <c r="MD25" s="377">
        <f>MC25/$MC$34*100</f>
        <v>5.9045041115615984</v>
      </c>
      <c r="ME25" s="375"/>
      <c r="MF25" s="378">
        <f>MF21+MF23-MF10</f>
        <v>129696190.04559426</v>
      </c>
      <c r="MG25" s="377">
        <f>MF25/$MG$34*100</f>
        <v>5.9045041115615984</v>
      </c>
      <c r="MK25" s="312">
        <f>MK24+1</f>
        <v>19</v>
      </c>
      <c r="ML25" s="376" t="str">
        <f>MB25</f>
        <v>Revenue Requirement</v>
      </c>
      <c r="MM25" s="983">
        <v>112402506.16203304</v>
      </c>
      <c r="MN25" s="376">
        <f>MC25</f>
        <v>129696190.04559426</v>
      </c>
      <c r="MO25" s="376">
        <f>MN25-MM25</f>
        <v>17293683.883561224</v>
      </c>
      <c r="MP25" s="944">
        <f>MO25/MM25</f>
        <v>0.15385496706480581</v>
      </c>
    </row>
    <row r="26" spans="1:357" s="29" customFormat="1" ht="17.25" thickBot="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2"/>
      <c r="V26" s="12"/>
      <c r="W26" s="12"/>
      <c r="X26" s="12"/>
      <c r="Y26" s="12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2"/>
      <c r="AK26" s="12"/>
      <c r="AL26" s="299"/>
      <c r="AM26" s="12"/>
      <c r="AN26" s="379"/>
      <c r="AO26" s="380"/>
      <c r="AP26" s="12"/>
      <c r="AQ26" s="15"/>
      <c r="AR26" s="12"/>
      <c r="AS26" s="381"/>
      <c r="AT26" s="381"/>
      <c r="AU26" s="15"/>
      <c r="AV26" s="381"/>
      <c r="AW26" s="381"/>
      <c r="AX26" s="381"/>
      <c r="AY26" s="15"/>
      <c r="AZ26" s="381"/>
      <c r="BA26" s="381"/>
      <c r="BB26" s="381"/>
      <c r="BC26" s="15"/>
      <c r="BD26" s="381"/>
      <c r="BE26" s="381"/>
      <c r="BF26" s="381"/>
      <c r="BG26" s="15"/>
      <c r="BH26" s="381"/>
      <c r="BI26" s="381"/>
      <c r="BJ26" s="381"/>
      <c r="BK26" s="15"/>
      <c r="BL26" s="381"/>
      <c r="BM26" s="381"/>
      <c r="BN26" s="381"/>
      <c r="BO26" s="15"/>
      <c r="BP26" s="381"/>
      <c r="BQ26" s="381"/>
      <c r="BR26" s="381"/>
      <c r="BS26" s="15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12"/>
      <c r="CL26" s="13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3"/>
      <c r="CZ26" s="12"/>
      <c r="DA26" s="12"/>
      <c r="DB26" s="12"/>
      <c r="DC26" s="12"/>
      <c r="DD26" s="16"/>
      <c r="DE26" s="12"/>
      <c r="DF26" s="12"/>
      <c r="DG26" s="12"/>
      <c r="DH26" s="12"/>
      <c r="DI26" s="13"/>
      <c r="DJ26" s="12"/>
      <c r="DK26" s="12"/>
      <c r="DL26" s="12"/>
      <c r="DM26" s="12"/>
      <c r="DN26" s="16"/>
      <c r="DO26" s="12"/>
      <c r="DP26" s="12"/>
      <c r="DQ26" s="12"/>
      <c r="DR26" s="1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3"/>
      <c r="EF26" s="38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3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3"/>
      <c r="FI26" s="12"/>
      <c r="FJ26" s="383">
        <f>FJ25+1</f>
        <v>21</v>
      </c>
      <c r="FK26" s="384"/>
      <c r="FL26" s="882" t="s">
        <v>237</v>
      </c>
      <c r="FM26" s="880">
        <v>499417.62</v>
      </c>
      <c r="FN26" s="880">
        <v>41431.71</v>
      </c>
      <c r="FO26" s="880">
        <v>265382.31</v>
      </c>
      <c r="FP26" s="881">
        <f>FM26+FO26+FN26</f>
        <v>806231.6399999999</v>
      </c>
      <c r="FQ26" s="880">
        <v>499417.61999999994</v>
      </c>
      <c r="FR26" s="880">
        <v>41431.71</v>
      </c>
      <c r="FS26" s="880">
        <v>265382.31</v>
      </c>
      <c r="FT26" s="880">
        <v>806231.6399999999</v>
      </c>
      <c r="FU26" s="955">
        <v>806231.6399999999</v>
      </c>
      <c r="FV26" s="16"/>
      <c r="FW26" s="266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3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3"/>
      <c r="GX26" s="12"/>
      <c r="GY26" s="12"/>
      <c r="GZ26" s="302">
        <v>21</v>
      </c>
      <c r="HA26" s="385" t="s">
        <v>71</v>
      </c>
      <c r="HB26" s="385">
        <f>SUM(HB6:HB25)</f>
        <v>202</v>
      </c>
      <c r="HC26" s="385">
        <f>SUM(HC6:HC25)</f>
        <v>221</v>
      </c>
      <c r="HD26" s="386">
        <f>SUM(HD6:HD25)</f>
        <v>2091530523.2727273</v>
      </c>
      <c r="HE26" s="386">
        <f>SUM(HE6:HE25)</f>
        <v>2194071252</v>
      </c>
      <c r="HF26" s="387">
        <f>HC26/HB26</f>
        <v>1.0940594059405941</v>
      </c>
      <c r="HG26" s="387">
        <f>HE26/HD26</f>
        <v>1.0490266470349292</v>
      </c>
      <c r="HH26" s="386"/>
      <c r="HI26" s="386"/>
      <c r="HJ26" s="386"/>
      <c r="HK26" s="190"/>
      <c r="HL26" s="13"/>
      <c r="HM26" s="317"/>
      <c r="HN26" s="388">
        <v>21</v>
      </c>
      <c r="HO26" s="389" t="s">
        <v>71</v>
      </c>
      <c r="HP26" s="390">
        <f>HG26</f>
        <v>1.0490266470349292</v>
      </c>
      <c r="HQ26" s="391">
        <f>SUM(HQ6:HQ25)</f>
        <v>314630.85259999998</v>
      </c>
      <c r="HR26" s="392">
        <f>SUM(HR6:HR25)</f>
        <v>323903.59259512648</v>
      </c>
      <c r="HS26" s="391">
        <f>SUM(HS6:HS25)</f>
        <v>232634365.45454544</v>
      </c>
      <c r="HT26" s="392">
        <f>SUM(HT6:HT25)</f>
        <v>242214042</v>
      </c>
      <c r="HU26" s="391">
        <f>SUM(HU6:HU25)</f>
        <v>106040187.41487272</v>
      </c>
      <c r="HV26" s="392">
        <f>SUM(HV6:HV25)</f>
        <v>123895104</v>
      </c>
      <c r="HW26" s="391">
        <f>SUM(HW6:HW25)</f>
        <v>4505138.589094515</v>
      </c>
      <c r="HX26" s="392">
        <f>SUM(HX6:HX25)</f>
        <v>4786954.6233764458</v>
      </c>
      <c r="HY26" s="391">
        <f>SUM(HQ26,HU26,HW26)</f>
        <v>110859956.85656723</v>
      </c>
      <c r="HZ26" s="391">
        <f>SUM(HR26,HV26,HX26)</f>
        <v>129005962.21597157</v>
      </c>
      <c r="IA26" s="393"/>
      <c r="IB26" s="394"/>
      <c r="IC26" s="393"/>
      <c r="ID26" s="208">
        <v>21</v>
      </c>
      <c r="IE26" s="395" t="s">
        <v>71</v>
      </c>
      <c r="IF26" s="396">
        <f>HF26</f>
        <v>1.0940594059405941</v>
      </c>
      <c r="IG26" s="397">
        <f>HG26</f>
        <v>1.0490266470349292</v>
      </c>
      <c r="IH26" s="398">
        <f>SUM(IH6:IH25)</f>
        <v>36813199.8476827</v>
      </c>
      <c r="II26" s="399">
        <f>SUM(II6:II25)</f>
        <v>38759425.026482746</v>
      </c>
      <c r="IJ26" s="398">
        <f>SUM(IJ6:IJ25)</f>
        <v>1805841.8473045456</v>
      </c>
      <c r="IK26" s="399">
        <f>SUM(IK6:IK25)</f>
        <v>1927835.2228029165</v>
      </c>
      <c r="IL26" s="398">
        <f>SUM(IL6:IL25)</f>
        <v>17962433.615376391</v>
      </c>
      <c r="IM26" s="399">
        <f>SUM(IM6:IM25)</f>
        <v>18604918.663317382</v>
      </c>
      <c r="IN26" s="398">
        <f>SUM(IN6:IN25)</f>
        <v>23103829.087177191</v>
      </c>
      <c r="IO26" s="399">
        <f>SUM(IO6:IO25)</f>
        <v>24327750.680698965</v>
      </c>
      <c r="IP26" s="398">
        <f>SUM(IP6:IP25)</f>
        <v>2229849.6176878791</v>
      </c>
      <c r="IQ26" s="399">
        <f>SUM(IQ6:IQ25)</f>
        <v>2404636.0465707122</v>
      </c>
      <c r="IR26" s="398">
        <f>SUM(IR6:IR25)</f>
        <v>1392570.6222590909</v>
      </c>
      <c r="IS26" s="399">
        <f>SUM(IS6:IS25)</f>
        <v>1494191.7007989204</v>
      </c>
      <c r="IT26" s="398">
        <f>SUM(IT6:IT25)</f>
        <v>5942658.7207094552</v>
      </c>
      <c r="IU26" s="399">
        <f>SUM(IU6:IU25)</f>
        <v>6168270.1152246939</v>
      </c>
      <c r="IV26" s="398">
        <f>SUM(IV6:IV25)</f>
        <v>12035251.726130454</v>
      </c>
      <c r="IW26" s="399">
        <f>SUM(IW6:IW25)</f>
        <v>12737461.434445117</v>
      </c>
      <c r="IX26" s="398">
        <f>IH26+IJ26+IL26+IN26+IP26+IT26+IV26+IR26</f>
        <v>101285635.08432771</v>
      </c>
      <c r="IY26" s="398">
        <f>II26+IK26+IM26+IO26+IU26+IW26+IQ26+IS26</f>
        <v>106424488.89034145</v>
      </c>
      <c r="IZ26" s="400">
        <f>IY26/HE26*100</f>
        <v>4.8505484401808046</v>
      </c>
      <c r="JA26" s="190"/>
      <c r="JB26" s="401"/>
      <c r="JC26" s="12"/>
      <c r="JD26" s="302">
        <v>21</v>
      </c>
      <c r="JE26" s="385" t="s">
        <v>71</v>
      </c>
      <c r="JF26" s="344">
        <f>SUM(JF6:JF25)</f>
        <v>221</v>
      </c>
      <c r="JG26" s="344">
        <f>SUM(JG6:JG25)</f>
        <v>219</v>
      </c>
      <c r="JH26" s="402">
        <f>SUM(JH6:JH25)</f>
        <v>2194071252</v>
      </c>
      <c r="JI26" s="1003">
        <f>'DCA 3 month Phase II'!L28</f>
        <v>2196563633.3733158</v>
      </c>
      <c r="JJ26" s="403">
        <f>JG26/JF26</f>
        <v>0.99095022624434392</v>
      </c>
      <c r="JK26" s="403">
        <f>JI26/JH26</f>
        <v>1.0011359619114666</v>
      </c>
      <c r="JL26" s="403">
        <f>LC27/LB28</f>
        <v>1.0331962542531921</v>
      </c>
      <c r="JM26" s="404" t="s">
        <v>238</v>
      </c>
      <c r="JN26" s="405"/>
      <c r="JO26" s="406"/>
      <c r="JP26" s="405"/>
      <c r="JQ26" s="192">
        <v>21</v>
      </c>
      <c r="JR26" s="407" t="s">
        <v>71</v>
      </c>
      <c r="JS26" s="408" t="str">
        <f>JM26</f>
        <v>Q3</v>
      </c>
      <c r="JT26" s="409">
        <f>JL26</f>
        <v>1.0331962542531921</v>
      </c>
      <c r="JU26" s="320">
        <f>SUM(JU6:JU25)</f>
        <v>323903.59259512648</v>
      </c>
      <c r="JV26" s="320">
        <f>SUM(JV6:JV25)</f>
        <v>335624.95105193462</v>
      </c>
      <c r="JW26" s="320">
        <f>HT26</f>
        <v>242214042</v>
      </c>
      <c r="JX26" s="320">
        <f>SUMPRODUCT('DCA 3 month Phase II'!HS4:HS27,'DCA 3 month Phase II'!HX4:HX27)/100</f>
        <v>242406621.26188737</v>
      </c>
      <c r="JY26" s="320">
        <f>SUM(JY6:JY25)</f>
        <v>123895104</v>
      </c>
      <c r="JZ26" s="320">
        <f>SUMPRODUCT('DCA 3 month Phase II'!JI4:JI27,'DCA 3 month Phase II'!JK4:JK27)/100</f>
        <v>108820992.36065084</v>
      </c>
      <c r="KA26" s="320">
        <f>SUM(KA6:KA25)</f>
        <v>4786954.6233764458</v>
      </c>
      <c r="KB26" s="320">
        <f>'DCA 3 month Phase II'!II4*'DCA 3 month Phase II'!IH4</f>
        <v>4749598.8</v>
      </c>
      <c r="KC26" s="320">
        <f>SUM(JU26,JY26,KA26)</f>
        <v>129005962.21597157</v>
      </c>
      <c r="KD26" s="320">
        <f>SUM(JV26,JZ26,KB26)</f>
        <v>113906216.11170277</v>
      </c>
      <c r="KE26" s="405"/>
      <c r="KF26" s="406"/>
      <c r="KG26" s="405"/>
      <c r="KH26" s="243">
        <f>KH25+1</f>
        <v>21</v>
      </c>
      <c r="KI26" s="891">
        <v>20</v>
      </c>
      <c r="KJ26" s="920">
        <f>JJ25</f>
        <v>1</v>
      </c>
      <c r="KK26" s="920">
        <f>JK25</f>
        <v>1.0011359619114666</v>
      </c>
      <c r="KL26" s="683">
        <v>1.6626666699999999</v>
      </c>
      <c r="KM26" s="794">
        <f>II25*KM$6/KL26*JK25</f>
        <v>6052093.413971643</v>
      </c>
      <c r="KN26" s="683">
        <v>1.6626666699999999</v>
      </c>
      <c r="KO26" s="895">
        <f>IK25*KO$6/KN26*KK26</f>
        <v>232185.5357909865</v>
      </c>
      <c r="KP26" s="683">
        <v>1.6626666699999999</v>
      </c>
      <c r="KQ26" s="794">
        <f>IM25*KQ$6/KP26*KJ26</f>
        <v>2712238.4456101679</v>
      </c>
      <c r="KR26" s="683">
        <v>1.6626666699999999</v>
      </c>
      <c r="KS26" s="895">
        <f>IO25*KS$6/KR26*KJ26</f>
        <v>2775970.3621790558</v>
      </c>
      <c r="KT26" s="683">
        <v>1.6626666699999999</v>
      </c>
      <c r="KU26" s="895">
        <f>IQ25*KU$6/KT26*KK26</f>
        <v>424829.28528110025</v>
      </c>
      <c r="KV26" s="683">
        <v>1.6626666699999999</v>
      </c>
      <c r="KW26" s="895">
        <f>IS25*KW$6/KV26*KK26</f>
        <v>165764.2646601437</v>
      </c>
      <c r="KX26" s="683">
        <v>1.6626666699999999</v>
      </c>
      <c r="KY26" s="895">
        <f>IU25*KY$6/KX26*$KK26</f>
        <v>1315964.8945406312</v>
      </c>
      <c r="KZ26" s="683">
        <v>1.6626666699999999</v>
      </c>
      <c r="LA26" s="794">
        <f>IW25*LA$6/KZ26*$KK26</f>
        <v>1702694.3810125748</v>
      </c>
      <c r="LB26" s="650">
        <f>IY25</f>
        <v>14919461.154238256</v>
      </c>
      <c r="LC26" s="650">
        <f>KM26+KO26+KQ26+KS26+KU26+KY26+LA26+KW26</f>
        <v>15381740.5830463</v>
      </c>
      <c r="LD26" s="16"/>
      <c r="LE26" s="13"/>
      <c r="LF26" s="12"/>
      <c r="LG26" s="192">
        <v>21</v>
      </c>
      <c r="LH26" s="410" t="s">
        <v>71</v>
      </c>
      <c r="LI26" s="320">
        <f>SUM(LI6:LI25)</f>
        <v>110859956.85656722</v>
      </c>
      <c r="LJ26" s="320">
        <f>SUM(LJ6:LJ25)</f>
        <v>129005962.21597156</v>
      </c>
      <c r="LK26" s="321">
        <f>SUM(LK6:LK25)</f>
        <v>113906216.11170278</v>
      </c>
      <c r="LL26" s="320">
        <f>SUM(LL6:LL25)</f>
        <v>101285635.0843277</v>
      </c>
      <c r="LM26" s="320">
        <f>SUM(LM6:LM25)</f>
        <v>106424488.89034146</v>
      </c>
      <c r="LN26" s="321">
        <f>SUM(LN6:LN25)</f>
        <v>109957383.28231122</v>
      </c>
      <c r="LO26" s="320">
        <f>LI26-LL26</f>
        <v>9574321.7722395211</v>
      </c>
      <c r="LP26" s="320">
        <f>LJ26-LM26</f>
        <v>22581473.325630099</v>
      </c>
      <c r="LQ26" s="320">
        <f>LK26-LN26</f>
        <v>3948832.8293915689</v>
      </c>
      <c r="LR26" s="12"/>
      <c r="LS26" s="13"/>
      <c r="LT26" s="12"/>
      <c r="LU26" s="12"/>
      <c r="LV26" s="12"/>
      <c r="LW26" s="12"/>
      <c r="LX26" s="12"/>
      <c r="LY26" s="13"/>
      <c r="LZ26" s="12"/>
      <c r="MA26" s="222">
        <f>MA25+1</f>
        <v>20</v>
      </c>
      <c r="MB26" s="650" t="s">
        <v>239</v>
      </c>
      <c r="MC26" s="650">
        <v>0</v>
      </c>
      <c r="MD26" s="747">
        <f>MC26/$MC$34*100</f>
        <v>0</v>
      </c>
      <c r="ME26" s="934"/>
      <c r="MF26" s="792">
        <f>MC26</f>
        <v>0</v>
      </c>
      <c r="MG26" s="747">
        <f>MF26/$MC$34*100</f>
        <v>0</v>
      </c>
      <c r="MH26" s="12"/>
      <c r="MI26" s="13"/>
      <c r="MJ26" s="12"/>
      <c r="MK26" s="222">
        <f>MK25+1</f>
        <v>20</v>
      </c>
      <c r="ML26" s="650" t="s">
        <v>239</v>
      </c>
      <c r="MM26" s="979">
        <v>0</v>
      </c>
      <c r="MN26" s="650">
        <f>MC26</f>
        <v>0</v>
      </c>
      <c r="MO26" s="650">
        <f>MN26-MM26</f>
        <v>0</v>
      </c>
      <c r="MP26" s="723">
        <f>IFERROR(MO26/MM26,0)</f>
        <v>0</v>
      </c>
      <c r="MQ26" s="12"/>
      <c r="MR26" s="13"/>
      <c r="MS26" s="12"/>
    </row>
    <row r="27" spans="1:357" ht="17.25" thickBot="1" x14ac:dyDescent="0.35">
      <c r="G27" s="411"/>
      <c r="H27" s="411"/>
      <c r="I27" s="411"/>
      <c r="J27" s="411"/>
      <c r="O27" s="411"/>
      <c r="AL27" s="299"/>
      <c r="AN27" s="287"/>
      <c r="AS27" s="19"/>
      <c r="AT27" s="235"/>
      <c r="AV27" s="19"/>
      <c r="AW27" s="235"/>
      <c r="AX27" s="236"/>
      <c r="AZ27" s="19"/>
      <c r="BA27" s="235"/>
      <c r="BB27" s="236"/>
      <c r="BD27" s="19"/>
      <c r="BE27" s="235"/>
      <c r="BF27" s="236"/>
      <c r="BH27" s="19"/>
      <c r="BI27" s="235"/>
      <c r="BJ27" s="236"/>
      <c r="BL27" s="19"/>
      <c r="BM27" s="235"/>
      <c r="BN27" s="236"/>
      <c r="BP27" s="19"/>
      <c r="BQ27" s="235"/>
      <c r="BR27" s="236"/>
      <c r="BT27" s="19"/>
      <c r="BU27" s="235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19"/>
      <c r="CH27" s="236"/>
      <c r="CI27" s="236"/>
      <c r="CJ27" s="236"/>
      <c r="DU27" s="12"/>
      <c r="DV27" s="12"/>
      <c r="DW27" s="12"/>
      <c r="DX27" s="12"/>
      <c r="DY27" s="12"/>
      <c r="ED27" s="382"/>
      <c r="FJ27" s="222">
        <f>FJ26+1</f>
        <v>22</v>
      </c>
      <c r="FK27" s="242"/>
      <c r="FL27" s="877" t="s">
        <v>240</v>
      </c>
      <c r="FM27" s="650">
        <v>0</v>
      </c>
      <c r="FN27" s="650">
        <v>26629</v>
      </c>
      <c r="FO27" s="650">
        <v>20428.21</v>
      </c>
      <c r="FP27" s="794">
        <f>FM27+FO27+FN27</f>
        <v>47057.21</v>
      </c>
      <c r="FQ27" s="650">
        <v>0</v>
      </c>
      <c r="FR27" s="650">
        <v>26629</v>
      </c>
      <c r="FS27" s="650">
        <v>20428.210000000003</v>
      </c>
      <c r="FT27" s="650">
        <v>47057.210000000006</v>
      </c>
      <c r="FU27" s="955">
        <v>47057.210000000006</v>
      </c>
      <c r="FV27" s="16"/>
      <c r="FW27" s="266"/>
      <c r="GZ27" s="412"/>
      <c r="HM27" s="5"/>
      <c r="HN27" s="413">
        <v>22</v>
      </c>
      <c r="HO27" s="414" t="s">
        <v>241</v>
      </c>
      <c r="HP27" s="415"/>
      <c r="HQ27" s="416"/>
      <c r="HR27" s="417">
        <f>HR26/HQ26</f>
        <v>1.029471807734365</v>
      </c>
      <c r="HS27" s="416"/>
      <c r="HT27" s="417">
        <f>HT26/HS26</f>
        <v>1.0411791118080804</v>
      </c>
      <c r="HU27" s="416"/>
      <c r="HV27" s="417">
        <f>HV26/HU26</f>
        <v>1.1683787724296593</v>
      </c>
      <c r="HW27" s="416"/>
      <c r="HX27" s="417">
        <f>HX26/HW26</f>
        <v>1.0625543540356597</v>
      </c>
      <c r="HY27" s="416"/>
      <c r="HZ27" s="418">
        <f>HZ26/HY26</f>
        <v>1.1636840377169007</v>
      </c>
      <c r="IA27" s="419"/>
      <c r="IB27" s="420"/>
      <c r="IC27" s="419"/>
      <c r="ID27" s="421">
        <v>22</v>
      </c>
      <c r="IE27" s="416" t="s">
        <v>241</v>
      </c>
      <c r="IF27" s="422"/>
      <c r="IG27" s="422"/>
      <c r="IH27" s="423"/>
      <c r="II27" s="424">
        <f>II26/IH26</f>
        <v>1.0528675906156677</v>
      </c>
      <c r="IJ27" s="423"/>
      <c r="IK27" s="424">
        <f>IK26/IJ26</f>
        <v>1.0675548502104224</v>
      </c>
      <c r="IL27" s="423"/>
      <c r="IM27" s="424">
        <f>IM26/IL26</f>
        <v>1.0357682629034746</v>
      </c>
      <c r="IN27" s="423"/>
      <c r="IO27" s="424">
        <f>IO26/IN26</f>
        <v>1.0529748375865999</v>
      </c>
      <c r="IP27" s="425"/>
      <c r="IQ27" s="424">
        <f>IQ26/IP26</f>
        <v>1.078384850483356</v>
      </c>
      <c r="IR27" s="425"/>
      <c r="IS27" s="424">
        <f>IS26/IR26</f>
        <v>1.0729737342692001</v>
      </c>
      <c r="IT27" s="423"/>
      <c r="IU27" s="424">
        <f>IU26/IT26</f>
        <v>1.0379647233870271</v>
      </c>
      <c r="IV27" s="423"/>
      <c r="IW27" s="424">
        <f>IW26/IV26</f>
        <v>1.058346075702767</v>
      </c>
      <c r="IX27" s="425"/>
      <c r="IY27" s="426">
        <f>IY26/IX26</f>
        <v>1.0507362549658228</v>
      </c>
      <c r="IZ27" s="426"/>
      <c r="JA27" s="236"/>
      <c r="JB27" s="299"/>
      <c r="JH27" s="235"/>
      <c r="JO27" s="427"/>
      <c r="JP27" s="428"/>
      <c r="JQ27" s="429">
        <v>22</v>
      </c>
      <c r="JR27" s="430" t="s">
        <v>242</v>
      </c>
      <c r="JS27" s="430"/>
      <c r="JT27" s="430"/>
      <c r="JU27" s="425"/>
      <c r="JV27" s="431">
        <f>JV26/JU26</f>
        <v>1.0361878000885887</v>
      </c>
      <c r="JW27" s="423"/>
      <c r="JX27" s="431">
        <f>JX26/JW26</f>
        <v>1.0007950788496704</v>
      </c>
      <c r="JY27" s="423"/>
      <c r="JZ27" s="431">
        <f>JZ26/JY26</f>
        <v>0.87833165998755558</v>
      </c>
      <c r="KA27" s="432"/>
      <c r="KB27" s="432">
        <f>KB26/KA26</f>
        <v>0.99219632808006497</v>
      </c>
      <c r="KC27" s="423"/>
      <c r="KD27" s="432">
        <f>KD26/KC26</f>
        <v>0.8829531143762952</v>
      </c>
      <c r="KE27" s="428"/>
      <c r="KF27" s="427"/>
      <c r="KG27" s="428"/>
      <c r="KH27" s="433">
        <f>KH26+1</f>
        <v>22</v>
      </c>
      <c r="KI27" s="434" t="s">
        <v>71</v>
      </c>
      <c r="KJ27" s="435">
        <f>JJ26</f>
        <v>0.99095022624434392</v>
      </c>
      <c r="KK27" s="435">
        <f>JK26</f>
        <v>1.0011359619114666</v>
      </c>
      <c r="KL27" s="436"/>
      <c r="KM27" s="437">
        <f>SUM(KM7:KM26)</f>
        <v>40115900.113998935</v>
      </c>
      <c r="KN27" s="438"/>
      <c r="KO27" s="439">
        <f>SUM(KO7:KO26)</f>
        <v>1996167.4500044165</v>
      </c>
      <c r="KP27" s="440"/>
      <c r="KQ27" s="437">
        <f>SUM(KQ7:KQ26)</f>
        <v>19173425.776259005</v>
      </c>
      <c r="KR27" s="441"/>
      <c r="KS27" s="439">
        <f>SUM(KS7:KS26)</f>
        <v>25073716.728897151</v>
      </c>
      <c r="KT27" s="442"/>
      <c r="KU27" s="439">
        <f>SUM(KU7:KU26)</f>
        <v>2489393.6074138447</v>
      </c>
      <c r="KV27" s="442"/>
      <c r="KW27" s="439">
        <f>SUM(KW7:KW26)</f>
        <v>1546613.8234561735</v>
      </c>
      <c r="KX27" s="442"/>
      <c r="KY27" s="439">
        <f>SUM(KY7:KY26)</f>
        <v>6377885.8178472156</v>
      </c>
      <c r="KZ27" s="442"/>
      <c r="LA27" s="437">
        <f>SUM(LA7:LA26)</f>
        <v>13184279.964434486</v>
      </c>
      <c r="LB27" s="439"/>
      <c r="LC27" s="439">
        <f>KM27+KO27+KQ27+KS27+KY27+LA27+KU27+KW27</f>
        <v>109957383.28231123</v>
      </c>
      <c r="LD27" s="16"/>
      <c r="LE27" s="443"/>
      <c r="LG27" s="5"/>
      <c r="LI27" s="953" t="s">
        <v>243</v>
      </c>
      <c r="LJ27" s="444"/>
      <c r="LK27" s="204"/>
      <c r="LL27" s="204"/>
      <c r="LM27" s="204"/>
      <c r="LN27" s="204"/>
      <c r="LO27" s="204"/>
      <c r="LP27" s="204"/>
      <c r="MA27" s="312">
        <f>MA26+1</f>
        <v>21</v>
      </c>
      <c r="MB27" s="935" t="s">
        <v>244</v>
      </c>
      <c r="MC27" s="935">
        <v>0</v>
      </c>
      <c r="MD27" s="936">
        <f>MC27/$MC$34*100</f>
        <v>0</v>
      </c>
      <c r="ME27" s="803"/>
      <c r="MF27" s="937">
        <f>MC27</f>
        <v>0</v>
      </c>
      <c r="MG27" s="936">
        <f>MF27/$MC$34*100</f>
        <v>0</v>
      </c>
      <c r="MK27" s="312">
        <f>MK26+1</f>
        <v>21</v>
      </c>
      <c r="ML27" s="935" t="s">
        <v>244</v>
      </c>
      <c r="MM27" s="980">
        <v>0</v>
      </c>
      <c r="MN27" s="935">
        <v>0</v>
      </c>
      <c r="MO27" s="935">
        <f>MN27-MM27</f>
        <v>0</v>
      </c>
      <c r="MP27" s="944">
        <f>IFERROR(MO27/MM27,0)</f>
        <v>0</v>
      </c>
    </row>
    <row r="28" spans="1:357" s="29" customFormat="1" ht="17.25" thickBot="1" x14ac:dyDescent="0.35">
      <c r="A28" s="12"/>
      <c r="B28" s="462"/>
      <c r="C28" s="462"/>
      <c r="D28" s="462"/>
      <c r="E28" s="462"/>
      <c r="F28" s="462"/>
      <c r="G28" s="462"/>
      <c r="H28" s="462"/>
      <c r="I28" s="462"/>
      <c r="J28" s="462"/>
      <c r="K28" s="12"/>
      <c r="L28" s="12"/>
      <c r="M28" s="12"/>
      <c r="N28" s="462"/>
      <c r="O28" s="411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299"/>
      <c r="AM28" s="12"/>
      <c r="AN28" s="287"/>
      <c r="AO28" s="12"/>
      <c r="AP28" s="12"/>
      <c r="AQ28" s="12"/>
      <c r="AR28" s="12"/>
      <c r="AS28" s="19"/>
      <c r="AT28" s="235"/>
      <c r="AU28" s="12"/>
      <c r="AV28" s="19"/>
      <c r="AW28" s="235"/>
      <c r="AX28" s="236"/>
      <c r="AY28" s="12"/>
      <c r="AZ28" s="19"/>
      <c r="BA28" s="235"/>
      <c r="BB28" s="236"/>
      <c r="BC28" s="12"/>
      <c r="BD28" s="19"/>
      <c r="BE28" s="235"/>
      <c r="BF28" s="236"/>
      <c r="BG28" s="12"/>
      <c r="BH28" s="19"/>
      <c r="BI28" s="235"/>
      <c r="BJ28" s="236"/>
      <c r="BK28" s="12"/>
      <c r="BL28" s="19"/>
      <c r="BM28" s="235"/>
      <c r="BN28" s="236"/>
      <c r="BO28" s="12"/>
      <c r="BP28" s="19"/>
      <c r="BQ28" s="235"/>
      <c r="BR28" s="236"/>
      <c r="BS28" s="12"/>
      <c r="BT28" s="19"/>
      <c r="BU28" s="235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19"/>
      <c r="CG28" s="12"/>
      <c r="CH28" s="236"/>
      <c r="CI28" s="236"/>
      <c r="CJ28" s="236"/>
      <c r="CK28" s="12"/>
      <c r="CL28" s="13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3"/>
      <c r="CZ28" s="12"/>
      <c r="DA28" s="12"/>
      <c r="DB28" s="12"/>
      <c r="DC28" s="12"/>
      <c r="DD28" s="16"/>
      <c r="DE28" s="12"/>
      <c r="DF28" s="12"/>
      <c r="DG28" s="12"/>
      <c r="DH28" s="12"/>
      <c r="DI28" s="13"/>
      <c r="DJ28" s="12"/>
      <c r="DK28" s="12"/>
      <c r="DL28" s="12"/>
      <c r="DM28" s="12"/>
      <c r="DN28" s="16"/>
      <c r="DO28" s="12"/>
      <c r="DP28" s="12"/>
      <c r="DQ28" s="12"/>
      <c r="DR28" s="13"/>
      <c r="DS28" s="12"/>
      <c r="DT28" s="12"/>
      <c r="DU28" s="17"/>
      <c r="DV28" s="18"/>
      <c r="DW28" s="18"/>
      <c r="DX28" s="18"/>
      <c r="DY28" s="18"/>
      <c r="DZ28" s="12"/>
      <c r="EA28" s="12"/>
      <c r="EB28" s="12"/>
      <c r="EC28" s="12"/>
      <c r="ED28" s="12"/>
      <c r="EE28" s="13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3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3"/>
      <c r="FI28" s="12"/>
      <c r="FJ28" s="383">
        <f>FJ27+1</f>
        <v>23</v>
      </c>
      <c r="FK28" s="384"/>
      <c r="FL28" s="882" t="s">
        <v>245</v>
      </c>
      <c r="FM28" s="880">
        <v>59179</v>
      </c>
      <c r="FN28" s="880">
        <v>53103</v>
      </c>
      <c r="FO28" s="880">
        <v>52452</v>
      </c>
      <c r="FP28" s="881">
        <f>FM28+FO28+FN28</f>
        <v>164734</v>
      </c>
      <c r="FQ28" s="880">
        <v>0</v>
      </c>
      <c r="FR28" s="880">
        <v>0</v>
      </c>
      <c r="FS28" s="880">
        <v>0</v>
      </c>
      <c r="FT28" s="880">
        <v>0</v>
      </c>
      <c r="FU28" s="955">
        <v>0</v>
      </c>
      <c r="FV28" s="16"/>
      <c r="FW28" s="266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3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3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401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3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952" t="s">
        <v>246</v>
      </c>
      <c r="IY28" s="12"/>
      <c r="IZ28" s="12"/>
      <c r="JA28" s="12"/>
      <c r="JB28" s="13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445"/>
      <c r="JP28" s="446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446"/>
      <c r="KD28" s="446"/>
      <c r="KE28" s="446"/>
      <c r="KF28" s="445"/>
      <c r="KG28" s="446"/>
      <c r="KH28" s="447">
        <f>KH27+1</f>
        <v>23</v>
      </c>
      <c r="KI28" s="430" t="s">
        <v>242</v>
      </c>
      <c r="KJ28" s="448"/>
      <c r="KK28" s="449"/>
      <c r="KL28" s="450">
        <f>II26</f>
        <v>38759425.026482746</v>
      </c>
      <c r="KM28" s="431">
        <f>KM27/KL28</f>
        <v>1.0349972964405267</v>
      </c>
      <c r="KN28" s="450">
        <f>IK26</f>
        <v>1927835.2228029165</v>
      </c>
      <c r="KO28" s="431">
        <f>KO27/KN28</f>
        <v>1.0354450558809432</v>
      </c>
      <c r="KP28" s="450">
        <f>IM26</f>
        <v>18604918.663317382</v>
      </c>
      <c r="KQ28" s="431">
        <f>KQ27/KP28</f>
        <v>1.0305568179699989</v>
      </c>
      <c r="KR28" s="451">
        <f>IO26</f>
        <v>24327750.680698965</v>
      </c>
      <c r="KS28" s="431">
        <f>KS27/IO26</f>
        <v>1.0306631738375227</v>
      </c>
      <c r="KT28" s="450">
        <f>IQ26</f>
        <v>2404636.0465707122</v>
      </c>
      <c r="KU28" s="431">
        <f>KU27/KT28</f>
        <v>1.0352475631245761</v>
      </c>
      <c r="KV28" s="450">
        <f>IS26</f>
        <v>1494191.7007989204</v>
      </c>
      <c r="KW28" s="431">
        <f>KW27/KV28</f>
        <v>1.0350839337611257</v>
      </c>
      <c r="KX28" s="450">
        <f>IU26</f>
        <v>6168270.1152246939</v>
      </c>
      <c r="KY28" s="431">
        <f>KY27/KX28</f>
        <v>1.0339828993715989</v>
      </c>
      <c r="KZ28" s="450">
        <f>IW26</f>
        <v>12737461.434445117</v>
      </c>
      <c r="LA28" s="431">
        <f>LA27/KZ28</f>
        <v>1.0350790879555534</v>
      </c>
      <c r="LB28" s="450">
        <f>IY26</f>
        <v>106424488.89034145</v>
      </c>
      <c r="LC28" s="432">
        <f>LC27/LB28</f>
        <v>1.0331962542531921</v>
      </c>
      <c r="LD28" s="452"/>
      <c r="LE28" s="13"/>
      <c r="LF28" s="12"/>
      <c r="LG28" s="12"/>
      <c r="LH28" s="12"/>
      <c r="LI28" s="355">
        <f>LI26-LL26</f>
        <v>9574321.7722395211</v>
      </c>
      <c r="LJ28" s="355">
        <f>LJ26-LM26</f>
        <v>22581473.325630099</v>
      </c>
      <c r="LK28" s="355">
        <f>LK26-LN26</f>
        <v>3948832.8293915689</v>
      </c>
      <c r="LL28" s="12"/>
      <c r="LM28" s="12"/>
      <c r="LN28" s="12"/>
      <c r="LO28" s="12"/>
      <c r="LP28" s="12"/>
      <c r="LQ28" s="12"/>
      <c r="LR28" s="12"/>
      <c r="LS28" s="13"/>
      <c r="LT28" s="12"/>
      <c r="LU28" s="12"/>
      <c r="LV28" s="12"/>
      <c r="LW28" s="12"/>
      <c r="LX28" s="12"/>
      <c r="LY28" s="13"/>
      <c r="LZ28" s="12"/>
      <c r="MA28" s="222">
        <f>MA27+1</f>
        <v>22</v>
      </c>
      <c r="MB28" s="453" t="s">
        <v>247</v>
      </c>
      <c r="MC28" s="454">
        <f>SUM(MC25:MC27)</f>
        <v>129696190.04559426</v>
      </c>
      <c r="MD28" s="455">
        <f>MC28/$MC$34*100</f>
        <v>5.9045041115615984</v>
      </c>
      <c r="ME28" s="307"/>
      <c r="MF28" s="456">
        <f>SUM(MF25:MF27)</f>
        <v>129696190.04559426</v>
      </c>
      <c r="MG28" s="455">
        <f>MF28/$MC$34*100</f>
        <v>5.9045041115615984</v>
      </c>
      <c r="MH28" s="12"/>
      <c r="MI28" s="13"/>
      <c r="MJ28" s="12"/>
      <c r="MK28" s="222">
        <f>MK27+1</f>
        <v>22</v>
      </c>
      <c r="ML28" s="453" t="s">
        <v>247</v>
      </c>
      <c r="MM28" s="984">
        <v>112402506.16203304</v>
      </c>
      <c r="MN28" s="454">
        <f>MN25+MN26+MN27</f>
        <v>129696190.04559426</v>
      </c>
      <c r="MO28" s="309">
        <f>MN28-MM28</f>
        <v>17293683.883561224</v>
      </c>
      <c r="MP28" s="723">
        <f>MO28/MM28</f>
        <v>0.15385496706480581</v>
      </c>
      <c r="MQ28" s="12"/>
      <c r="MR28" s="13"/>
      <c r="MS28" s="12"/>
    </row>
    <row r="29" spans="1:357" ht="16.5" x14ac:dyDescent="0.3">
      <c r="B29" s="462"/>
      <c r="C29" s="462"/>
      <c r="D29" s="462"/>
      <c r="E29" s="462"/>
      <c r="F29" s="462"/>
      <c r="G29" s="462"/>
      <c r="H29" s="462"/>
      <c r="I29" s="462"/>
      <c r="J29" s="462"/>
      <c r="N29" s="462"/>
      <c r="AL29" s="299"/>
      <c r="AN29" s="287"/>
      <c r="AS29" s="19"/>
      <c r="AT29" s="235"/>
      <c r="AV29" s="19"/>
      <c r="AW29" s="235"/>
      <c r="AX29" s="236"/>
      <c r="AZ29" s="19"/>
      <c r="BA29" s="235"/>
      <c r="BB29" s="236"/>
      <c r="BD29" s="19"/>
      <c r="BE29" s="235"/>
      <c r="BF29" s="236"/>
      <c r="BH29" s="19"/>
      <c r="BI29" s="235"/>
      <c r="BJ29" s="236"/>
      <c r="BL29" s="19"/>
      <c r="BM29" s="235"/>
      <c r="BN29" s="236"/>
      <c r="BP29" s="19"/>
      <c r="BQ29" s="235"/>
      <c r="BR29" s="236"/>
      <c r="BT29" s="19"/>
      <c r="BU29" s="235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19"/>
      <c r="CH29" s="236"/>
      <c r="CI29" s="236"/>
      <c r="CJ29" s="236"/>
      <c r="FJ29" s="222">
        <f>FJ28+1</f>
        <v>24</v>
      </c>
      <c r="FK29" s="242"/>
      <c r="FL29" s="877" t="s">
        <v>248</v>
      </c>
      <c r="FM29" s="650">
        <v>10863</v>
      </c>
      <c r="FN29" s="650">
        <v>82972.12999999999</v>
      </c>
      <c r="FO29" s="650">
        <v>103206.25</v>
      </c>
      <c r="FP29" s="794">
        <f>FM29+FO29+FN29</f>
        <v>197041.38</v>
      </c>
      <c r="FQ29" s="650">
        <v>10863</v>
      </c>
      <c r="FR29" s="650">
        <v>82972.12999999999</v>
      </c>
      <c r="FS29" s="650">
        <v>103206.25</v>
      </c>
      <c r="FT29" s="650">
        <v>197041.38</v>
      </c>
      <c r="FU29" s="955">
        <v>197041.38</v>
      </c>
      <c r="FV29" s="16"/>
      <c r="FW29" s="266"/>
      <c r="IK29" s="12"/>
      <c r="IM29" s="12"/>
      <c r="IX29" s="952" t="s">
        <v>249</v>
      </c>
      <c r="IZ29" s="236"/>
      <c r="JA29" s="236"/>
      <c r="JB29" s="299"/>
      <c r="JO29" s="445"/>
      <c r="JP29" s="446"/>
      <c r="JQ29" s="446"/>
      <c r="JR29" s="446"/>
      <c r="JS29" s="446"/>
      <c r="JT29" s="446"/>
      <c r="JU29" s="446"/>
      <c r="JW29" s="446"/>
      <c r="JX29" s="457"/>
      <c r="JY29" s="446"/>
      <c r="JZ29" s="457"/>
      <c r="KA29" s="457"/>
      <c r="KB29" s="457"/>
      <c r="KC29" s="446"/>
      <c r="KD29" s="446"/>
      <c r="KE29" s="446"/>
      <c r="KF29" s="445"/>
      <c r="KG29" s="446"/>
      <c r="KM29" s="236"/>
      <c r="KO29" s="236"/>
      <c r="KQ29" s="236"/>
      <c r="KR29" s="12"/>
      <c r="KV29" s="236"/>
      <c r="KW29" s="236"/>
      <c r="KY29" s="236"/>
      <c r="LA29" s="236"/>
      <c r="LC29" s="236"/>
      <c r="LD29" s="411"/>
      <c r="MA29" s="192">
        <f>MA28+1</f>
        <v>23</v>
      </c>
      <c r="MB29" s="291" t="s">
        <v>250</v>
      </c>
      <c r="MC29" s="458">
        <f>MC11</f>
        <v>4749598.8</v>
      </c>
      <c r="MD29" s="331">
        <f>MC29/$MC$34*100</f>
        <v>0.21622860033906352</v>
      </c>
      <c r="ME29" s="458">
        <f>ME11</f>
        <v>0</v>
      </c>
      <c r="MF29" s="459">
        <f>MF11</f>
        <v>4749598.8</v>
      </c>
      <c r="MG29" s="331">
        <f>MF29/$MC$34*100</f>
        <v>0.21622860033906352</v>
      </c>
      <c r="MK29" s="192">
        <f>MK28+1</f>
        <v>23</v>
      </c>
      <c r="ML29" s="291" t="s">
        <v>250</v>
      </c>
      <c r="MM29" s="984">
        <v>4758928.0499999989</v>
      </c>
      <c r="MN29" s="458">
        <f>MC29</f>
        <v>4749598.8</v>
      </c>
      <c r="MO29" s="320">
        <f>MN29-MM29</f>
        <v>-9329.2499999990687</v>
      </c>
      <c r="MP29" s="802">
        <f>MO29/MM29</f>
        <v>-1.9603679446254857E-3</v>
      </c>
    </row>
    <row r="30" spans="1:357" s="29" customFormat="1" ht="16.5" x14ac:dyDescent="0.3">
      <c r="A30" s="12"/>
      <c r="B30" s="462"/>
      <c r="C30" s="462"/>
      <c r="D30" s="462"/>
      <c r="E30" s="462"/>
      <c r="F30" s="462"/>
      <c r="G30" s="462"/>
      <c r="H30" s="462"/>
      <c r="I30" s="462"/>
      <c r="J30" s="462"/>
      <c r="K30" s="12"/>
      <c r="L30" s="12"/>
      <c r="M30" s="12"/>
      <c r="N30" s="462"/>
      <c r="O30" s="411"/>
      <c r="P30" s="12"/>
      <c r="Q30" s="12"/>
      <c r="R30" s="12"/>
      <c r="S30" s="12"/>
      <c r="T30" s="13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/>
      <c r="AF30" s="12"/>
      <c r="AG30" s="12"/>
      <c r="AH30" s="12"/>
      <c r="AI30" s="12"/>
      <c r="AJ30" s="12"/>
      <c r="AK30" s="12"/>
      <c r="AL30" s="299"/>
      <c r="AM30" s="12"/>
      <c r="AN30" s="287"/>
      <c r="AO30" s="12"/>
      <c r="AP30" s="12"/>
      <c r="AQ30" s="12"/>
      <c r="AR30" s="12"/>
      <c r="AS30" s="19"/>
      <c r="AT30" s="235"/>
      <c r="AU30" s="12"/>
      <c r="AV30" s="19"/>
      <c r="AW30" s="235"/>
      <c r="AX30" s="236"/>
      <c r="AY30" s="12"/>
      <c r="AZ30" s="19"/>
      <c r="BA30" s="235"/>
      <c r="BB30" s="236"/>
      <c r="BC30" s="12"/>
      <c r="BD30" s="19"/>
      <c r="BE30" s="235"/>
      <c r="BF30" s="236"/>
      <c r="BG30" s="12"/>
      <c r="BH30" s="19"/>
      <c r="BI30" s="235"/>
      <c r="BJ30" s="236"/>
      <c r="BK30" s="12"/>
      <c r="BL30" s="19"/>
      <c r="BM30" s="235"/>
      <c r="BN30" s="236"/>
      <c r="BO30" s="12"/>
      <c r="BP30" s="19"/>
      <c r="BQ30" s="235"/>
      <c r="BR30" s="236"/>
      <c r="BS30" s="12"/>
      <c r="BT30" s="19"/>
      <c r="BU30" s="235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19"/>
      <c r="CG30" s="12"/>
      <c r="CH30" s="236"/>
      <c r="CI30" s="236"/>
      <c r="CJ30" s="236"/>
      <c r="CK30" s="12"/>
      <c r="CL30" s="13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3"/>
      <c r="CZ30" s="12"/>
      <c r="DA30" s="12"/>
      <c r="DB30" s="12"/>
      <c r="DC30" s="12"/>
      <c r="DD30" s="16"/>
      <c r="DE30" s="12"/>
      <c r="DF30" s="12"/>
      <c r="DG30" s="12"/>
      <c r="DH30" s="12"/>
      <c r="DI30" s="13"/>
      <c r="DJ30" s="12"/>
      <c r="DK30" s="12"/>
      <c r="DL30" s="12"/>
      <c r="DM30" s="12"/>
      <c r="DN30" s="16"/>
      <c r="DO30" s="12"/>
      <c r="DP30" s="12"/>
      <c r="DQ30" s="12"/>
      <c r="DR30" s="13"/>
      <c r="DS30" s="12"/>
      <c r="DT30" s="12"/>
      <c r="DU30" s="17"/>
      <c r="DV30" s="18"/>
      <c r="DW30" s="18"/>
      <c r="DX30" s="18"/>
      <c r="DY30" s="18"/>
      <c r="DZ30" s="12"/>
      <c r="EA30" s="12"/>
      <c r="EB30" s="12"/>
      <c r="EC30" s="12"/>
      <c r="ED30" s="12"/>
      <c r="EE30" s="13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3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3"/>
      <c r="FI30" s="12"/>
      <c r="FJ30" s="383">
        <f>FJ29+1</f>
        <v>25</v>
      </c>
      <c r="FK30" s="384"/>
      <c r="FL30" s="882" t="s">
        <v>251</v>
      </c>
      <c r="FM30" s="880">
        <v>400444.33639999997</v>
      </c>
      <c r="FN30" s="880">
        <v>248442.43</v>
      </c>
      <c r="FO30" s="880">
        <v>370902.63</v>
      </c>
      <c r="FP30" s="881">
        <f>FM30+FO30+FN30</f>
        <v>1019789.3964</v>
      </c>
      <c r="FQ30" s="880">
        <v>400453.42730909091</v>
      </c>
      <c r="FR30" s="880">
        <v>248442.43000000002</v>
      </c>
      <c r="FS30" s="880">
        <v>370902.63</v>
      </c>
      <c r="FT30" s="880">
        <v>1019798.487309091</v>
      </c>
      <c r="FU30" s="955">
        <v>1019798.487309091</v>
      </c>
      <c r="FV30" s="16"/>
      <c r="FW30" s="266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3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3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3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3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3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445"/>
      <c r="JP30" s="446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446"/>
      <c r="KF30" s="445"/>
      <c r="KG30" s="446"/>
      <c r="KH30" s="189"/>
      <c r="KI30" s="189"/>
      <c r="KJ30" s="189"/>
      <c r="KK30" s="189"/>
      <c r="KL30" s="189"/>
      <c r="KM30" s="460"/>
      <c r="KN30" s="460"/>
      <c r="KO30" s="461"/>
      <c r="KP30" s="189"/>
      <c r="KQ30" s="461"/>
      <c r="KR30" s="12"/>
      <c r="KS30" s="12"/>
      <c r="KT30" s="12"/>
      <c r="KU30" s="12"/>
      <c r="KV30" s="12"/>
      <c r="KW30" s="12"/>
      <c r="KX30" s="16"/>
      <c r="KY30" s="12"/>
      <c r="KZ30" s="12"/>
      <c r="LA30" s="12"/>
      <c r="LB30" s="12"/>
      <c r="LC30" s="12"/>
      <c r="LD30" s="411"/>
      <c r="LE30" s="13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3"/>
      <c r="LT30" s="12"/>
      <c r="LU30" s="12"/>
      <c r="LV30" s="12"/>
      <c r="LW30" s="12"/>
      <c r="LX30" s="12"/>
      <c r="LY30" s="13"/>
      <c r="LZ30" s="12"/>
      <c r="MA30" s="222">
        <f>MA29+1</f>
        <v>24</v>
      </c>
      <c r="MB30" s="453" t="s">
        <v>252</v>
      </c>
      <c r="MC30" s="454">
        <f>MC28-MC29</f>
        <v>124946591.24559426</v>
      </c>
      <c r="MD30" s="455">
        <f>MC30/$MC$34*100</f>
        <v>5.6882755112225345</v>
      </c>
      <c r="ME30" s="307"/>
      <c r="MF30" s="456">
        <f>MF28-MF29</f>
        <v>124946591.24559426</v>
      </c>
      <c r="MG30" s="455">
        <f>MF30/$MC$34*100</f>
        <v>5.6882755112225345</v>
      </c>
      <c r="MH30" s="12"/>
      <c r="MI30" s="13"/>
      <c r="MJ30" s="12"/>
      <c r="MK30" s="222">
        <f>MK29+1</f>
        <v>24</v>
      </c>
      <c r="ML30" s="453" t="s">
        <v>252</v>
      </c>
      <c r="MM30" s="984">
        <v>107643578.11203304</v>
      </c>
      <c r="MN30" s="454">
        <f>MC30</f>
        <v>124946591.24559426</v>
      </c>
      <c r="MO30" s="309">
        <f>MN30-MM30</f>
        <v>17303013.133561224</v>
      </c>
      <c r="MP30" s="723">
        <f>MO30/MM30</f>
        <v>0.16074357093139949</v>
      </c>
      <c r="MQ30" s="12"/>
      <c r="MR30" s="13"/>
      <c r="MS30" s="12"/>
    </row>
    <row r="31" spans="1:357" ht="16.5" customHeight="1" x14ac:dyDescent="0.3">
      <c r="B31" s="462"/>
      <c r="C31" s="462"/>
      <c r="D31" s="462"/>
      <c r="E31" s="462"/>
      <c r="F31" s="462"/>
      <c r="G31" s="462"/>
      <c r="H31" s="462"/>
      <c r="I31" s="462"/>
      <c r="J31" s="462"/>
      <c r="N31" s="462"/>
      <c r="O31" s="462"/>
      <c r="P31" s="462"/>
      <c r="Q31" s="462"/>
      <c r="R31" s="462"/>
      <c r="AL31" s="299"/>
      <c r="AN31" s="379"/>
      <c r="AO31" s="380"/>
      <c r="AQ31" s="15"/>
      <c r="AT31" s="381"/>
      <c r="AU31" s="15"/>
      <c r="AW31" s="381"/>
      <c r="AX31" s="381"/>
      <c r="AY31" s="15"/>
      <c r="BA31" s="381"/>
      <c r="BB31" s="381"/>
      <c r="BC31" s="15"/>
      <c r="BE31" s="381"/>
      <c r="BF31" s="381"/>
      <c r="BG31" s="15"/>
      <c r="BI31" s="381"/>
      <c r="BJ31" s="381"/>
      <c r="BK31" s="15"/>
      <c r="BM31" s="381"/>
      <c r="BN31" s="381"/>
      <c r="BO31" s="15"/>
      <c r="BQ31" s="381"/>
      <c r="BR31" s="381"/>
      <c r="BS31" s="15"/>
      <c r="BU31" s="381"/>
      <c r="BV31" s="381"/>
      <c r="BW31" s="381"/>
      <c r="BX31" s="381"/>
      <c r="BY31" s="381"/>
      <c r="BZ31" s="381"/>
      <c r="CA31" s="381"/>
      <c r="CB31" s="381"/>
      <c r="CC31" s="381"/>
      <c r="CD31" s="381"/>
      <c r="CE31" s="381"/>
      <c r="CG31" s="381"/>
      <c r="CH31" s="381"/>
      <c r="CI31" s="381"/>
      <c r="CJ31" s="381"/>
      <c r="FJ31" s="293">
        <f>FJ30+1</f>
        <v>26</v>
      </c>
      <c r="FK31" s="463"/>
      <c r="FL31" s="464" t="s">
        <v>221</v>
      </c>
      <c r="FM31" s="309">
        <f>SUM(FM26:FM30)</f>
        <v>969903.95640000002</v>
      </c>
      <c r="FN31" s="309">
        <f>SUM(FN26:FN30)</f>
        <v>452578.26999999996</v>
      </c>
      <c r="FO31" s="309">
        <f>SUM(FO26:FO30)</f>
        <v>812371.4</v>
      </c>
      <c r="FP31" s="325">
        <f>FM31+FO31+FN31</f>
        <v>2234853.6264</v>
      </c>
      <c r="FQ31" s="309">
        <v>910734.04730909085</v>
      </c>
      <c r="FR31" s="309">
        <v>399475.27</v>
      </c>
      <c r="FS31" s="309">
        <v>759919.4</v>
      </c>
      <c r="FT31" s="309">
        <v>2070128.717309091</v>
      </c>
      <c r="FU31" s="971">
        <v>2070128.717309091</v>
      </c>
      <c r="FV31" s="16"/>
      <c r="FW31" s="266"/>
      <c r="IK31" s="12"/>
      <c r="IM31" s="12"/>
      <c r="KO31" s="12"/>
      <c r="KQ31" s="12"/>
      <c r="KR31" s="12"/>
      <c r="LD31" s="411"/>
      <c r="MA31" s="192">
        <f>MA30+1</f>
        <v>25</v>
      </c>
      <c r="MB31" s="935" t="s">
        <v>253</v>
      </c>
      <c r="MC31" s="935">
        <f>'DCA 3 month Phase I'!JV26+'DCA 3 month Phase I'!JZ26+MC11</f>
        <v>113906216.11170277</v>
      </c>
      <c r="MD31" s="936">
        <f>MC31/$MC$34*100</f>
        <v>5.1856551925506587</v>
      </c>
      <c r="ME31" s="796"/>
      <c r="MF31" s="937"/>
      <c r="MG31" s="466"/>
      <c r="MK31" s="312">
        <f>MK30+1</f>
        <v>25</v>
      </c>
      <c r="ML31" s="935" t="str">
        <f>MB31</f>
        <v>Total Revenue at Current Rates</v>
      </c>
      <c r="MM31" s="980">
        <v>136637688.37609816</v>
      </c>
      <c r="MN31" s="935">
        <f>MC31</f>
        <v>113906216.11170277</v>
      </c>
      <c r="MO31" s="935">
        <f>MN31-MM31</f>
        <v>-22731472.264395386</v>
      </c>
      <c r="MP31" s="944">
        <f>MO31/MM31</f>
        <v>-0.16636312085305865</v>
      </c>
    </row>
    <row r="32" spans="1:357" ht="16.5" x14ac:dyDescent="0.3"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AL32" s="299"/>
      <c r="AN32" s="287"/>
      <c r="AT32" s="467"/>
      <c r="AW32" s="467"/>
      <c r="AX32" s="236"/>
      <c r="BA32" s="467"/>
      <c r="BB32" s="236"/>
      <c r="BE32" s="467"/>
      <c r="BF32" s="236"/>
      <c r="BI32" s="467"/>
      <c r="BJ32" s="236"/>
      <c r="BM32" s="467"/>
      <c r="BN32" s="236"/>
      <c r="BQ32" s="467"/>
      <c r="BR32" s="236"/>
      <c r="BU32" s="467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G32" s="467"/>
      <c r="CH32" s="236"/>
      <c r="CI32" s="236"/>
      <c r="CJ32" s="236"/>
      <c r="FJ32" s="383">
        <f>FJ31+1</f>
        <v>27</v>
      </c>
      <c r="FK32" s="468" t="s">
        <v>254</v>
      </c>
      <c r="FL32" s="469"/>
      <c r="FM32" s="470"/>
      <c r="FN32" s="470"/>
      <c r="FO32" s="470"/>
      <c r="FP32" s="471"/>
      <c r="FQ32" s="470"/>
      <c r="FR32" s="470"/>
      <c r="FS32" s="470"/>
      <c r="FT32" s="470"/>
      <c r="FU32" s="470"/>
      <c r="FV32" s="16"/>
      <c r="FW32" s="266"/>
      <c r="IK32" s="12"/>
      <c r="IM32" s="12"/>
      <c r="JP32" s="189"/>
      <c r="KE32" s="189"/>
      <c r="KF32" s="472"/>
      <c r="KG32" s="189"/>
      <c r="KO32" s="12"/>
      <c r="KQ32" s="12"/>
      <c r="KR32" s="12"/>
      <c r="LD32" s="236"/>
      <c r="MA32" s="293">
        <f>MA31+1</f>
        <v>26</v>
      </c>
      <c r="MB32" s="938" t="s">
        <v>255</v>
      </c>
      <c r="MC32" s="938">
        <f>MC30/MC9-1</f>
        <v>0.14818463363668388</v>
      </c>
      <c r="MD32" s="938"/>
      <c r="ME32" s="839"/>
      <c r="MF32" s="939">
        <f>(MF9)/MF30-1</f>
        <v>0</v>
      </c>
      <c r="MG32" s="473"/>
      <c r="MK32" s="293">
        <f>MK31+1</f>
        <v>26</v>
      </c>
      <c r="ML32" s="938" t="str">
        <f>MB32</f>
        <v>Proposed Rate Increase</v>
      </c>
      <c r="MM32" s="985">
        <v>-0.18249978315112159</v>
      </c>
      <c r="MN32" s="938">
        <f>MC32</f>
        <v>0.14818463363668388</v>
      </c>
      <c r="MO32" s="938">
        <f>MN32-MM32</f>
        <v>0.33068441678780547</v>
      </c>
      <c r="MP32" s="474"/>
    </row>
    <row r="33" spans="2:354" ht="17.100000000000001" customHeight="1" x14ac:dyDescent="0.3"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AL33" s="299"/>
      <c r="AN33" s="287"/>
      <c r="AT33" s="467"/>
      <c r="AW33" s="467"/>
      <c r="AX33" s="236"/>
      <c r="BA33" s="467"/>
      <c r="BB33" s="236"/>
      <c r="BE33" s="467"/>
      <c r="BF33" s="236"/>
      <c r="BI33" s="467"/>
      <c r="BJ33" s="236"/>
      <c r="BM33" s="467"/>
      <c r="BN33" s="236"/>
      <c r="BQ33" s="467"/>
      <c r="BR33" s="236"/>
      <c r="BU33" s="467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G33" s="467"/>
      <c r="CH33" s="236"/>
      <c r="CI33" s="236"/>
      <c r="CJ33" s="236"/>
      <c r="EE33" s="475"/>
      <c r="FJ33" s="222">
        <f>FJ32+1</f>
        <v>28</v>
      </c>
      <c r="FK33" s="242"/>
      <c r="FL33" s="877" t="s">
        <v>256</v>
      </c>
      <c r="FM33" s="650">
        <v>33261.31</v>
      </c>
      <c r="FN33" s="650">
        <v>184151.55</v>
      </c>
      <c r="FO33" s="650">
        <v>509378.34</v>
      </c>
      <c r="FP33" s="794">
        <f>FM33+FO33+FN33</f>
        <v>726791.2</v>
      </c>
      <c r="FQ33" s="650">
        <v>33261.31</v>
      </c>
      <c r="FR33" s="650">
        <v>184151.55</v>
      </c>
      <c r="FS33" s="650">
        <v>509378.34</v>
      </c>
      <c r="FT33" s="650">
        <v>726791.2</v>
      </c>
      <c r="FU33" s="955">
        <v>726791.2</v>
      </c>
      <c r="FW33" s="266"/>
      <c r="IK33" s="12"/>
      <c r="IM33" s="12"/>
      <c r="JO33" s="476"/>
      <c r="JP33" s="477"/>
      <c r="KE33" s="477"/>
      <c r="KF33" s="476"/>
      <c r="KG33" s="477"/>
      <c r="KO33" s="12"/>
      <c r="KQ33" s="12"/>
      <c r="KR33" s="12"/>
      <c r="MA33" s="341" t="s">
        <v>223</v>
      </c>
      <c r="MB33" s="341"/>
      <c r="MC33" s="341"/>
      <c r="MD33" s="341"/>
      <c r="ME33" s="341"/>
      <c r="MF33" s="341"/>
      <c r="MG33" s="341"/>
      <c r="MK33" s="341" t="s">
        <v>223</v>
      </c>
      <c r="ML33" s="298"/>
      <c r="MM33" s="298"/>
      <c r="MN33" s="298"/>
      <c r="MO33" s="478"/>
      <c r="MP33" s="478"/>
    </row>
    <row r="34" spans="2:354" ht="17.850000000000001" customHeight="1" x14ac:dyDescent="0.3"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AL34" s="299"/>
      <c r="AN34" s="287"/>
      <c r="AT34" s="467"/>
      <c r="AW34" s="467"/>
      <c r="AX34" s="236"/>
      <c r="BA34" s="467"/>
      <c r="BB34" s="236"/>
      <c r="BE34" s="467"/>
      <c r="BF34" s="236"/>
      <c r="BI34" s="467"/>
      <c r="BJ34" s="236"/>
      <c r="BM34" s="467"/>
      <c r="BN34" s="236"/>
      <c r="BQ34" s="467"/>
      <c r="BR34" s="236"/>
      <c r="BU34" s="467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G34" s="467"/>
      <c r="CH34" s="236"/>
      <c r="CI34" s="236"/>
      <c r="CJ34" s="236"/>
      <c r="FJ34" s="383">
        <f>FJ33+1</f>
        <v>29</v>
      </c>
      <c r="FK34" s="384"/>
      <c r="FL34" s="882" t="s">
        <v>257</v>
      </c>
      <c r="FM34" s="880">
        <v>42818</v>
      </c>
      <c r="FN34" s="880">
        <v>398970.26</v>
      </c>
      <c r="FO34" s="880">
        <v>550411.94579999999</v>
      </c>
      <c r="FP34" s="881">
        <f>FM34+FO34+FN34</f>
        <v>992200.2058</v>
      </c>
      <c r="FQ34" s="880">
        <v>42518</v>
      </c>
      <c r="FR34" s="880">
        <v>398970.26</v>
      </c>
      <c r="FS34" s="880">
        <v>550411.94579999999</v>
      </c>
      <c r="FT34" s="880">
        <v>991900.2058</v>
      </c>
      <c r="FU34" s="955">
        <v>991900.2058</v>
      </c>
      <c r="FV34" s="16"/>
      <c r="FW34" s="266"/>
      <c r="IK34" s="12"/>
      <c r="IM34" s="12"/>
      <c r="JO34" s="57"/>
      <c r="JP34" s="24"/>
      <c r="KE34" s="24"/>
      <c r="KF34" s="25"/>
      <c r="KG34" s="24"/>
      <c r="KO34" s="12"/>
      <c r="KQ34" s="12"/>
      <c r="KR34" s="12"/>
      <c r="MA34" s="192">
        <f>MA32+1</f>
        <v>27</v>
      </c>
      <c r="MB34" s="479" t="s">
        <v>118</v>
      </c>
      <c r="MC34" s="1054">
        <f>JI26</f>
        <v>2196563633.3733158</v>
      </c>
      <c r="MD34" s="1054"/>
      <c r="ME34" s="480"/>
      <c r="MF34" s="481"/>
      <c r="MG34" s="480">
        <f>MC34</f>
        <v>2196563633.3733158</v>
      </c>
      <c r="MK34" s="192">
        <f>MK32+1</f>
        <v>27</v>
      </c>
      <c r="ML34" s="479" t="str">
        <f>MB34</f>
        <v>Target Year Volume</v>
      </c>
      <c r="MM34" s="482">
        <v>2172816411.6368828</v>
      </c>
      <c r="MN34" s="480">
        <f>MC34</f>
        <v>2196563633.3733158</v>
      </c>
      <c r="MO34" s="480">
        <f>MN34-MM34</f>
        <v>23747221.736433029</v>
      </c>
      <c r="MP34" s="946">
        <f>MO34/MM34</f>
        <v>1.0929235258556958E-2</v>
      </c>
    </row>
    <row r="35" spans="2:354" ht="17.25" thickBot="1" x14ac:dyDescent="0.35"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AL35" s="299"/>
      <c r="AN35" s="287"/>
      <c r="AT35" s="467"/>
      <c r="AW35" s="467"/>
      <c r="AX35" s="236"/>
      <c r="BA35" s="467"/>
      <c r="BB35" s="236"/>
      <c r="BE35" s="467"/>
      <c r="BF35" s="236"/>
      <c r="BI35" s="467"/>
      <c r="BJ35" s="236"/>
      <c r="BM35" s="467"/>
      <c r="BN35" s="236"/>
      <c r="BQ35" s="467"/>
      <c r="BR35" s="236"/>
      <c r="BU35" s="467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G35" s="467"/>
      <c r="CH35" s="236"/>
      <c r="CI35" s="236"/>
      <c r="CJ35" s="236"/>
      <c r="FJ35" s="297">
        <f>FJ34+1</f>
        <v>30</v>
      </c>
      <c r="FK35" s="483"/>
      <c r="FL35" s="484" t="s">
        <v>221</v>
      </c>
      <c r="FM35" s="309">
        <f>SUM(FM33:FM34)</f>
        <v>76079.31</v>
      </c>
      <c r="FN35" s="309">
        <f>SUM(FN33:FN34)</f>
        <v>583121.81000000006</v>
      </c>
      <c r="FO35" s="309">
        <f>SUM(FO33:FO34)</f>
        <v>1059790.2858</v>
      </c>
      <c r="FP35" s="325">
        <f>FM35+FO35+FN35</f>
        <v>1718991.4058000001</v>
      </c>
      <c r="FQ35" s="309">
        <v>75779.31</v>
      </c>
      <c r="FR35" s="309">
        <v>583121.81000000006</v>
      </c>
      <c r="FS35" s="309">
        <v>1059790.2858</v>
      </c>
      <c r="FT35" s="309">
        <v>1718691.4057999998</v>
      </c>
      <c r="FU35" s="971">
        <v>1718691.4057999998</v>
      </c>
      <c r="FW35" s="266"/>
      <c r="IK35" s="12"/>
      <c r="IM35" s="12"/>
      <c r="JP35" s="189"/>
      <c r="KE35" s="189"/>
      <c r="KF35" s="472"/>
      <c r="KG35" s="189"/>
      <c r="KO35" s="12"/>
      <c r="KQ35" s="12"/>
      <c r="KR35" s="12"/>
      <c r="MA35" s="274">
        <f>MA34+1</f>
        <v>28</v>
      </c>
      <c r="MB35" s="486" t="s">
        <v>230</v>
      </c>
      <c r="MC35" s="1050">
        <f>JG26</f>
        <v>219</v>
      </c>
      <c r="MD35" s="1050"/>
      <c r="ME35" s="487"/>
      <c r="MF35" s="488"/>
      <c r="MG35" s="487">
        <f>MC35</f>
        <v>219</v>
      </c>
      <c r="MK35" s="274">
        <f>MK34+1</f>
        <v>28</v>
      </c>
      <c r="ML35" s="486" t="str">
        <f>MB35</f>
        <v>Number of Depots</v>
      </c>
      <c r="MM35" s="489">
        <v>221</v>
      </c>
      <c r="MN35" s="487">
        <f>MC35</f>
        <v>219</v>
      </c>
      <c r="MO35" s="490">
        <f>MN35-MM35</f>
        <v>-2</v>
      </c>
      <c r="MP35" s="947">
        <f>MO35/MM35</f>
        <v>-9.0497737556561094E-3</v>
      </c>
    </row>
    <row r="36" spans="2:354" ht="17.25" thickBot="1" x14ac:dyDescent="0.35"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AN36" s="379"/>
      <c r="FJ36" s="491">
        <f>FJ35+1</f>
        <v>31</v>
      </c>
      <c r="FK36" s="492"/>
      <c r="FL36" s="493" t="s">
        <v>71</v>
      </c>
      <c r="FM36" s="494">
        <f>FM20+FM24+FM31+FM35</f>
        <v>2645170.5619999999</v>
      </c>
      <c r="FN36" s="494">
        <f>FN20+FN24+FN31+FN35</f>
        <v>3815523.84485</v>
      </c>
      <c r="FO36" s="494">
        <f>FO20+FO24+FO31+FO35</f>
        <v>5940057.9059100002</v>
      </c>
      <c r="FP36" s="495">
        <f>FM36+FO36+FN36</f>
        <v>12400752.312759999</v>
      </c>
      <c r="FQ36" s="494">
        <v>2543957.5453704544</v>
      </c>
      <c r="FR36" s="494">
        <v>3606846.8748500003</v>
      </c>
      <c r="FS36" s="494">
        <v>5884447.3059099996</v>
      </c>
      <c r="FT36" s="494">
        <v>12035251.726130454</v>
      </c>
      <c r="FU36" s="972">
        <v>12035251.726130454</v>
      </c>
      <c r="FW36" s="266"/>
      <c r="IK36" s="12"/>
      <c r="IM36" s="12"/>
      <c r="JO36" s="496"/>
      <c r="JP36" s="485"/>
      <c r="JQ36" s="485"/>
      <c r="JR36" s="485"/>
      <c r="JS36" s="485"/>
      <c r="JT36" s="485"/>
      <c r="JU36" s="485"/>
      <c r="JW36" s="446"/>
      <c r="JX36" s="446"/>
      <c r="JY36" s="446"/>
      <c r="JZ36" s="446"/>
      <c r="KA36" s="446"/>
      <c r="KB36" s="446"/>
      <c r="KC36" s="485"/>
      <c r="KD36" s="485"/>
      <c r="KE36" s="485"/>
      <c r="KF36" s="497"/>
      <c r="KG36" s="485"/>
      <c r="KO36" s="12"/>
      <c r="KQ36" s="12"/>
      <c r="KR36" s="12"/>
      <c r="MA36" s="12"/>
      <c r="MB36" s="190" t="s">
        <v>449</v>
      </c>
    </row>
    <row r="37" spans="2:354" ht="15.75" customHeight="1" x14ac:dyDescent="0.3"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AL37" s="299"/>
      <c r="AN37" s="287"/>
      <c r="AP37" s="498"/>
      <c r="AQ37" s="15"/>
      <c r="AT37" s="211"/>
      <c r="AV37" s="499"/>
      <c r="AW37" s="211"/>
      <c r="AX37" s="236"/>
      <c r="AZ37" s="499"/>
      <c r="BA37" s="211"/>
      <c r="BB37" s="236"/>
      <c r="BD37" s="499"/>
      <c r="BE37" s="211"/>
      <c r="BF37" s="236"/>
      <c r="BH37" s="499"/>
      <c r="BI37" s="211"/>
      <c r="BJ37" s="236"/>
      <c r="BL37" s="499"/>
      <c r="BM37" s="211"/>
      <c r="BN37" s="236"/>
      <c r="BP37" s="499"/>
      <c r="BQ37" s="211"/>
      <c r="BR37" s="236"/>
      <c r="BT37" s="499"/>
      <c r="BU37" s="211"/>
      <c r="BV37" s="236"/>
      <c r="BW37" s="236"/>
      <c r="BX37" s="236"/>
      <c r="BY37" s="236"/>
      <c r="BZ37" s="236"/>
      <c r="CA37" s="236"/>
      <c r="CB37" s="236"/>
      <c r="CC37" s="236"/>
      <c r="CD37" s="236"/>
      <c r="CE37" s="236"/>
      <c r="CF37" s="499"/>
      <c r="CG37" s="211"/>
      <c r="CH37" s="236"/>
      <c r="CI37" s="236"/>
      <c r="CJ37" s="236"/>
      <c r="IK37" s="12"/>
      <c r="IM37" s="12"/>
      <c r="JO37" s="496"/>
      <c r="JP37" s="485"/>
      <c r="JQ37" s="485"/>
      <c r="JR37" s="485"/>
      <c r="JS37" s="485"/>
      <c r="JT37" s="485"/>
      <c r="JU37" s="485"/>
      <c r="JW37" s="446"/>
      <c r="JX37" s="446"/>
      <c r="JY37" s="446"/>
      <c r="JZ37" s="446"/>
      <c r="KA37" s="446"/>
      <c r="KB37" s="446"/>
      <c r="KC37" s="485"/>
      <c r="KD37" s="485"/>
      <c r="KE37" s="485"/>
      <c r="KF37" s="497"/>
      <c r="KG37" s="485"/>
      <c r="KO37" s="12"/>
      <c r="KQ37" s="12"/>
      <c r="KR37" s="12"/>
      <c r="MA37" s="12"/>
      <c r="MB37" s="194" t="s">
        <v>232</v>
      </c>
      <c r="MC37" s="320">
        <v>19960070.068912446</v>
      </c>
      <c r="MD37" s="331">
        <v>0.91454128970437332</v>
      </c>
    </row>
    <row r="38" spans="2:354" ht="16.5" x14ac:dyDescent="0.3"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AL38" s="299"/>
      <c r="AN38" s="287"/>
      <c r="AQ38" s="15"/>
      <c r="BU38" s="232"/>
      <c r="CG38" s="232"/>
      <c r="FW38" s="266"/>
      <c r="IK38" s="12"/>
      <c r="IM38" s="12"/>
      <c r="JO38" s="496"/>
      <c r="JP38" s="485"/>
      <c r="JQ38" s="485"/>
      <c r="JR38" s="485"/>
      <c r="JS38" s="485"/>
      <c r="JT38" s="485"/>
      <c r="JU38" s="485"/>
      <c r="JW38" s="446"/>
      <c r="JX38" s="446"/>
      <c r="JY38" s="446"/>
      <c r="JZ38" s="446"/>
      <c r="KA38" s="446"/>
      <c r="KB38" s="446"/>
      <c r="KC38" s="485"/>
      <c r="KD38" s="485"/>
      <c r="KE38" s="485"/>
      <c r="KF38" s="497"/>
      <c r="KG38" s="485"/>
      <c r="KO38" s="12"/>
      <c r="KQ38" s="12"/>
      <c r="KR38" s="12"/>
      <c r="MA38" s="12"/>
      <c r="MB38" s="816" t="s">
        <v>233</v>
      </c>
      <c r="MC38" s="932">
        <v>5.390000000000017E-2</v>
      </c>
      <c r="MD38" s="930"/>
    </row>
    <row r="39" spans="2:354" ht="16.5" x14ac:dyDescent="0.3"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IK39" s="12"/>
      <c r="IM39" s="12"/>
      <c r="JO39" s="496"/>
      <c r="JP39" s="485"/>
      <c r="JQ39" s="485"/>
      <c r="JR39" s="485"/>
      <c r="JS39" s="485"/>
      <c r="JT39" s="485"/>
      <c r="JU39" s="485"/>
      <c r="JW39" s="446"/>
      <c r="JX39" s="446"/>
      <c r="JY39" s="446"/>
      <c r="JZ39" s="446"/>
      <c r="KA39" s="446"/>
      <c r="KB39" s="446"/>
      <c r="KC39" s="485"/>
      <c r="KD39" s="485"/>
      <c r="KE39" s="485"/>
      <c r="KF39" s="497"/>
      <c r="KG39" s="485"/>
      <c r="KO39" s="12"/>
      <c r="KQ39" s="12"/>
      <c r="KR39" s="12"/>
      <c r="LK39" s="500"/>
      <c r="LL39" s="500"/>
      <c r="LM39" s="500"/>
      <c r="LN39" s="500"/>
      <c r="MA39" s="12"/>
      <c r="MB39" s="375" t="s">
        <v>236</v>
      </c>
      <c r="MC39" s="376">
        <v>129163059.59289664</v>
      </c>
      <c r="MD39" s="377">
        <v>5.9180629473955912</v>
      </c>
      <c r="MF39" s="1004"/>
    </row>
    <row r="40" spans="2:354" ht="16.5" x14ac:dyDescent="0.3"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AL40" s="299"/>
      <c r="IK40" s="12"/>
      <c r="IM40" s="12"/>
      <c r="JW40" s="446"/>
      <c r="JX40" s="446"/>
      <c r="JY40" s="446"/>
      <c r="JZ40" s="446"/>
      <c r="KA40" s="446"/>
      <c r="KB40" s="446"/>
      <c r="KO40" s="12"/>
      <c r="KQ40" s="12"/>
      <c r="KR40" s="12"/>
      <c r="LK40" s="500"/>
      <c r="LL40" s="500"/>
      <c r="LM40" s="500"/>
      <c r="LN40" s="500"/>
      <c r="MA40" s="12"/>
      <c r="MB40" s="650" t="s">
        <v>239</v>
      </c>
      <c r="MC40" s="650">
        <v>0</v>
      </c>
      <c r="MD40" s="747">
        <v>0</v>
      </c>
      <c r="MF40" s="1004"/>
    </row>
    <row r="41" spans="2:354" ht="16.5" x14ac:dyDescent="0.3"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AL41" s="502"/>
      <c r="IK41" s="12"/>
      <c r="IM41" s="12"/>
      <c r="JW41" s="446"/>
      <c r="JX41" s="446"/>
      <c r="JY41" s="446"/>
      <c r="JZ41" s="446"/>
      <c r="KA41" s="446"/>
      <c r="KB41" s="446"/>
      <c r="KO41" s="12"/>
      <c r="KQ41" s="12"/>
      <c r="KR41" s="12"/>
      <c r="LK41" s="500"/>
      <c r="LL41" s="503"/>
      <c r="LM41" s="504"/>
      <c r="LN41" s="505"/>
      <c r="MA41" s="12"/>
      <c r="MB41" s="935" t="s">
        <v>244</v>
      </c>
      <c r="MC41" s="935">
        <v>0</v>
      </c>
      <c r="MD41" s="936">
        <v>0</v>
      </c>
      <c r="MF41" s="1004"/>
    </row>
    <row r="42" spans="2:354" ht="16.5" x14ac:dyDescent="0.3"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AL42" s="299"/>
      <c r="IK42" s="12"/>
      <c r="IM42" s="12"/>
      <c r="JW42" s="446"/>
      <c r="JX42" s="446"/>
      <c r="JY42" s="446"/>
      <c r="JZ42" s="446"/>
      <c r="KA42" s="446"/>
      <c r="KB42" s="446"/>
      <c r="KO42" s="12"/>
      <c r="KQ42" s="12"/>
      <c r="KR42" s="12"/>
      <c r="LK42" s="500"/>
      <c r="LL42" s="504"/>
      <c r="LM42" s="504"/>
      <c r="LN42" s="505"/>
      <c r="MA42" s="12"/>
      <c r="MB42" s="453" t="s">
        <v>247</v>
      </c>
      <c r="MC42" s="454">
        <v>129163059.59289664</v>
      </c>
      <c r="MD42" s="455">
        <v>5.9180629473955912</v>
      </c>
      <c r="MF42" s="1004"/>
    </row>
    <row r="43" spans="2:354" ht="16.5" x14ac:dyDescent="0.3"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IK43" s="12"/>
      <c r="IM43" s="12"/>
      <c r="JW43" s="446"/>
      <c r="JX43" s="446"/>
      <c r="JY43" s="446"/>
      <c r="JZ43" s="446"/>
      <c r="KA43" s="446"/>
      <c r="KB43" s="446"/>
      <c r="KO43" s="12"/>
      <c r="KQ43" s="12"/>
      <c r="KR43" s="12"/>
      <c r="LK43" s="500"/>
      <c r="LL43" s="503"/>
      <c r="LM43" s="503"/>
      <c r="LN43" s="505"/>
      <c r="MA43" s="12"/>
      <c r="MB43" s="291" t="s">
        <v>250</v>
      </c>
      <c r="MC43" s="458">
        <v>4749598.8</v>
      </c>
      <c r="MD43" s="331">
        <v>0.21761968756290126</v>
      </c>
      <c r="MF43" s="1004"/>
    </row>
    <row r="44" spans="2:354" ht="16.5" x14ac:dyDescent="0.3">
      <c r="B44" s="462"/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IK44" s="12"/>
      <c r="IM44" s="12"/>
      <c r="JW44" s="446"/>
      <c r="JX44" s="446"/>
      <c r="JY44" s="446"/>
      <c r="JZ44" s="446"/>
      <c r="KA44" s="446"/>
      <c r="KB44" s="446"/>
      <c r="KO44" s="12"/>
      <c r="KQ44" s="12"/>
      <c r="KR44" s="12"/>
      <c r="LK44" s="500"/>
      <c r="LL44" s="500"/>
      <c r="LM44" s="500"/>
      <c r="LN44" s="505"/>
      <c r="MA44" s="12"/>
      <c r="MB44" s="453" t="s">
        <v>252</v>
      </c>
      <c r="MC44" s="454">
        <v>124413460.79289664</v>
      </c>
      <c r="MD44" s="455">
        <v>5.7004432598326904</v>
      </c>
      <c r="MF44" s="1004"/>
      <c r="ML44" s="32"/>
    </row>
    <row r="45" spans="2:354" ht="16.5" x14ac:dyDescent="0.3">
      <c r="IK45" s="12"/>
      <c r="IM45" s="12"/>
      <c r="JW45" s="446"/>
      <c r="JX45" s="446"/>
      <c r="JY45" s="446"/>
      <c r="JZ45" s="446"/>
      <c r="KA45" s="446"/>
      <c r="KB45" s="446"/>
      <c r="KO45" s="12"/>
      <c r="KQ45" s="12"/>
      <c r="KR45" s="12"/>
      <c r="LK45" s="500"/>
      <c r="LL45" s="500"/>
      <c r="LM45" s="500"/>
      <c r="LN45" s="500"/>
      <c r="MA45" s="12"/>
      <c r="MB45" s="935" t="s">
        <v>253</v>
      </c>
      <c r="MC45" s="935">
        <v>113155729.87481624</v>
      </c>
      <c r="MD45" s="936">
        <v>5.1846304536942283</v>
      </c>
      <c r="MF45" s="1004"/>
    </row>
    <row r="46" spans="2:354" ht="16.5" x14ac:dyDescent="0.3">
      <c r="IK46" s="12"/>
      <c r="IM46" s="12"/>
      <c r="JW46" s="446"/>
      <c r="JX46" s="446"/>
      <c r="JY46" s="446"/>
      <c r="JZ46" s="446"/>
      <c r="KA46" s="446"/>
      <c r="KB46" s="446"/>
      <c r="KO46" s="12"/>
      <c r="KQ46" s="12"/>
      <c r="KR46" s="12"/>
      <c r="MA46" s="12"/>
      <c r="MB46" s="938" t="s">
        <v>255</v>
      </c>
      <c r="MC46" s="978">
        <v>0.1512114027739575</v>
      </c>
      <c r="MD46" s="938"/>
      <c r="ML46" s="32"/>
    </row>
    <row r="47" spans="2:354" x14ac:dyDescent="0.25">
      <c r="IK47" s="12"/>
      <c r="IM47" s="12"/>
      <c r="JW47" s="446"/>
      <c r="JX47" s="446"/>
      <c r="JY47" s="446"/>
      <c r="JZ47" s="446"/>
      <c r="KA47" s="446"/>
      <c r="KB47" s="446"/>
      <c r="KO47" s="12"/>
      <c r="KQ47" s="12"/>
      <c r="KR47" s="12"/>
      <c r="MB47" s="12"/>
      <c r="MM47" s="411"/>
    </row>
    <row r="48" spans="2:354" x14ac:dyDescent="0.25">
      <c r="IK48" s="12"/>
      <c r="IM48" s="12"/>
      <c r="JW48" s="446"/>
      <c r="JX48" s="446"/>
      <c r="JY48" s="446"/>
      <c r="JZ48" s="446"/>
      <c r="KA48" s="446"/>
      <c r="KB48" s="446"/>
      <c r="KR48" s="12"/>
      <c r="MB48" s="190" t="s">
        <v>445</v>
      </c>
      <c r="MC48" s="355">
        <f>MC39-MC28</f>
        <v>-533130.4526976198</v>
      </c>
      <c r="MK48" s="8"/>
      <c r="MM48" s="411"/>
    </row>
    <row r="49" spans="245:357" x14ac:dyDescent="0.25">
      <c r="IK49" s="12"/>
      <c r="IM49" s="12"/>
      <c r="JW49" s="446"/>
      <c r="JX49" s="446"/>
      <c r="JY49" s="446"/>
      <c r="JZ49" s="446"/>
      <c r="KA49" s="446"/>
      <c r="KB49" s="446"/>
      <c r="KR49" s="12"/>
      <c r="MB49" s="12"/>
      <c r="MM49" s="411"/>
    </row>
    <row r="50" spans="245:357" x14ac:dyDescent="0.25">
      <c r="JW50" s="446"/>
      <c r="JX50" s="446"/>
      <c r="KR50" s="12"/>
      <c r="LS50" s="221"/>
      <c r="LT50" s="8"/>
      <c r="LX50" s="8"/>
      <c r="LY50" s="221"/>
      <c r="LZ50" s="8"/>
      <c r="MC50" s="507"/>
      <c r="MD50" s="508"/>
      <c r="MK50" s="8"/>
      <c r="MM50" s="411"/>
      <c r="MR50" s="221"/>
      <c r="MS50" s="8"/>
    </row>
    <row r="51" spans="245:357" x14ac:dyDescent="0.25">
      <c r="KR51" s="12"/>
      <c r="LU51" s="8"/>
      <c r="LV51" s="8"/>
      <c r="LW51" s="8"/>
      <c r="MC51" s="230"/>
      <c r="MD51" s="506"/>
      <c r="MJ51" s="8"/>
    </row>
    <row r="52" spans="245:357" x14ac:dyDescent="0.25">
      <c r="KR52" s="12"/>
      <c r="LS52" s="221"/>
      <c r="LT52" s="8"/>
      <c r="LX52" s="8"/>
      <c r="LY52" s="221"/>
      <c r="LZ52" s="8"/>
      <c r="MC52" s="507"/>
      <c r="MD52" s="508"/>
      <c r="MI52" s="221"/>
      <c r="MR52" s="221"/>
      <c r="MS52" s="8"/>
    </row>
    <row r="53" spans="245:357" x14ac:dyDescent="0.25">
      <c r="KS53" s="204"/>
      <c r="LU53" s="8"/>
      <c r="LV53" s="8"/>
      <c r="LW53" s="8"/>
      <c r="MC53" s="230"/>
      <c r="MD53" s="506"/>
      <c r="MJ53" s="8"/>
    </row>
    <row r="54" spans="245:357" x14ac:dyDescent="0.25">
      <c r="KS54" s="204"/>
      <c r="MC54" s="230"/>
      <c r="MD54" s="506"/>
      <c r="MI54" s="221"/>
    </row>
  </sheetData>
  <mergeCells count="106">
    <mergeCell ref="FX1:GI1"/>
    <mergeCell ref="A1:R1"/>
    <mergeCell ref="W1:AA1"/>
    <mergeCell ref="AF1:AJ1"/>
    <mergeCell ref="AM1:CJ1"/>
    <mergeCell ref="CM1:CX1"/>
    <mergeCell ref="GY1:HJ2"/>
    <mergeCell ref="HN1:HZ2"/>
    <mergeCell ref="ID1:IZ2"/>
    <mergeCell ref="JD1:JM2"/>
    <mergeCell ref="JQ1:KD2"/>
    <mergeCell ref="DJ1:DQ1"/>
    <mergeCell ref="DS1:ED1"/>
    <mergeCell ref="EG1:EP1"/>
    <mergeCell ref="ET1:FF1"/>
    <mergeCell ref="FI1:FV1"/>
    <mergeCell ref="EZ3:FC3"/>
    <mergeCell ref="FD3:FF3"/>
    <mergeCell ref="MA1:MG2"/>
    <mergeCell ref="MK1:MP2"/>
    <mergeCell ref="F3:G3"/>
    <mergeCell ref="H3:J3"/>
    <mergeCell ref="K3:M3"/>
    <mergeCell ref="N3:P3"/>
    <mergeCell ref="Q3:R3"/>
    <mergeCell ref="GK1:GV1"/>
    <mergeCell ref="BP3:BR3"/>
    <mergeCell ref="BT3:BV3"/>
    <mergeCell ref="BW3:BY3"/>
    <mergeCell ref="BZ3:CB3"/>
    <mergeCell ref="CC3:CE3"/>
    <mergeCell ref="CF3:CH3"/>
    <mergeCell ref="KH1:LC2"/>
    <mergeCell ref="LG1:LQ2"/>
    <mergeCell ref="LU1:LW2"/>
    <mergeCell ref="CZ1:DH1"/>
    <mergeCell ref="CI3:CJ3"/>
    <mergeCell ref="CP3:CS3"/>
    <mergeCell ref="CT3:CW3"/>
    <mergeCell ref="DC3:DD3"/>
    <mergeCell ref="DE3:DG3"/>
    <mergeCell ref="DM3:DN3"/>
    <mergeCell ref="AS3:AT3"/>
    <mergeCell ref="AV3:AX3"/>
    <mergeCell ref="AZ3:BB3"/>
    <mergeCell ref="BD3:BF3"/>
    <mergeCell ref="BH3:BJ3"/>
    <mergeCell ref="BL3:BN3"/>
    <mergeCell ref="FM3:FP3"/>
    <mergeCell ref="FQ3:FU3"/>
    <mergeCell ref="GA3:GD3"/>
    <mergeCell ref="GE3:GH3"/>
    <mergeCell ref="DO3:DP3"/>
    <mergeCell ref="DV3:DY3"/>
    <mergeCell ref="DZ3:EC3"/>
    <mergeCell ref="EI3:EL3"/>
    <mergeCell ref="EM3:EP3"/>
    <mergeCell ref="EV3:EY3"/>
    <mergeCell ref="GN3:GQ3"/>
    <mergeCell ref="GR3:GU3"/>
    <mergeCell ref="HQ3:HR3"/>
    <mergeCell ref="HS3:HT3"/>
    <mergeCell ref="HU3:HV3"/>
    <mergeCell ref="HW3:HX3"/>
    <mergeCell ref="LB3:LC3"/>
    <mergeCell ref="HY3:HZ3"/>
    <mergeCell ref="IH3:II3"/>
    <mergeCell ref="IJ3:IK3"/>
    <mergeCell ref="IL3:IM3"/>
    <mergeCell ref="IN3:IO3"/>
    <mergeCell ref="IP3:IQ3"/>
    <mergeCell ref="LI3:LK3"/>
    <mergeCell ref="LL3:LN3"/>
    <mergeCell ref="LO3:LQ3"/>
    <mergeCell ref="MC4:MD4"/>
    <mergeCell ref="MF4:MG4"/>
    <mergeCell ref="KR3:KS3"/>
    <mergeCell ref="KT3:KU3"/>
    <mergeCell ref="KV3:KW3"/>
    <mergeCell ref="KX3:KY3"/>
    <mergeCell ref="KZ3:LA3"/>
    <mergeCell ref="IR3:IS3"/>
    <mergeCell ref="IT3:IU3"/>
    <mergeCell ref="IV3:IW3"/>
    <mergeCell ref="IX3:IZ3"/>
    <mergeCell ref="JU3:JV3"/>
    <mergeCell ref="JW3:JX3"/>
    <mergeCell ref="JY3:JZ3"/>
    <mergeCell ref="KA3:KB3"/>
    <mergeCell ref="KC3:KD3"/>
    <mergeCell ref="KL3:KM3"/>
    <mergeCell ref="KN3:KO3"/>
    <mergeCell ref="KP3:KQ3"/>
    <mergeCell ref="AN21:CJ21"/>
    <mergeCell ref="BT22:BV22"/>
    <mergeCell ref="BT23:BV23"/>
    <mergeCell ref="F24:G24"/>
    <mergeCell ref="H24:J24"/>
    <mergeCell ref="K24:M24"/>
    <mergeCell ref="N24:P24"/>
    <mergeCell ref="MC35:MD35"/>
    <mergeCell ref="F25:G25"/>
    <mergeCell ref="H25:J25"/>
    <mergeCell ref="K25:M25"/>
    <mergeCell ref="N25:P25"/>
    <mergeCell ref="MC34:MD34"/>
  </mergeCells>
  <conditionalFormatting sqref="AM3:CK4 KV29:LC30 KM30:KQ30">
    <cfRule type="cellIs" dxfId="129" priority="6" operator="lessThan">
      <formula>0</formula>
    </cfRule>
  </conditionalFormatting>
  <conditionalFormatting sqref="AN7:AP20">
    <cfRule type="cellIs" dxfId="128" priority="20" operator="lessThan">
      <formula>0</formula>
    </cfRule>
  </conditionalFormatting>
  <conditionalFormatting sqref="AN22:BT23">
    <cfRule type="cellIs" dxfId="127" priority="4" operator="lessThan">
      <formula>0</formula>
    </cfRule>
  </conditionalFormatting>
  <conditionalFormatting sqref="BW7:CJ20">
    <cfRule type="cellIs" dxfId="126" priority="9" operator="lessThan">
      <formula>0</formula>
    </cfRule>
  </conditionalFormatting>
  <conditionalFormatting sqref="BZ22:CA23">
    <cfRule type="cellIs" dxfId="125" priority="3" operator="lessThan">
      <formula>0</formula>
    </cfRule>
  </conditionalFormatting>
  <conditionalFormatting sqref="CC22:CJ23">
    <cfRule type="cellIs" dxfId="124" priority="1" operator="lessThan">
      <formula>0</formula>
    </cfRule>
  </conditionalFormatting>
  <conditionalFormatting sqref="CK1:CL1 JC1:JD1 JQ1 KE1:KH1 LD1:LE1 LG1 AM1:AM2 JN1:JP2 AO2:AR2 BW2:CK2 JC2 LD2 KE2:KG27 CL2:CL1048576 LE2:LE1048576 JC3:JS3 JU3 JW3 JY3 KL3:KR3 KT3 KX3:LD3 KJ3:KK4 JC4 JE4:JO4 KL4:LD4 JQ4:JT27 JP4:JP28 AN5:AR5 BW5:CJ5 CK5:CK24 KH5:KI27 AM5:AM1048576 AN6:CJ6 JM6:JO26 JC6:JL27 AQ7:BT10 BU7:BV11 KX7:LD28 AQ11:BO11 BQ11:BT11 AQ12:BV20 AH19:AJ19 AN26:CK1048576 JV27 JX27 JZ27:KB27 JO27:JO32 JM27:JN1048576 JC28:JH29 JJ28:JL29 LF28:LF37 JP29:JU29 JW29:KG29 KI29:KQ29 LD29:LD1048576 KI30:KK30 JP30:JP32 KE30:KG32 JC30:JL1048576 JO34:JP35 KE34:KG35 JO36:JU50 JW36:KG50 LF38:LQ1048576 KH48:KQ52 KV48:LC52 JO51:KG1048576 KH53:KR54 KT53:LC54 KH55:LC1048576">
    <cfRule type="cellIs" dxfId="123" priority="26" operator="lessThan">
      <formula>0</formula>
    </cfRule>
  </conditionalFormatting>
  <conditionalFormatting sqref="HF4 HF6:HF25">
    <cfRule type="cellIs" dxfId="122" priority="25" operator="lessThan">
      <formula>0</formula>
    </cfRule>
  </conditionalFormatting>
  <conditionalFormatting sqref="IF4">
    <cfRule type="cellIs" dxfId="121" priority="23" operator="lessThan">
      <formula>0</formula>
    </cfRule>
  </conditionalFormatting>
  <conditionalFormatting sqref="JC5:JO5">
    <cfRule type="cellIs" dxfId="120" priority="12" operator="lessThan">
      <formula>0</formula>
    </cfRule>
  </conditionalFormatting>
  <conditionalFormatting sqref="JU4:KD26">
    <cfRule type="cellIs" dxfId="119" priority="2" operator="lessThan">
      <formula>0</formula>
    </cfRule>
  </conditionalFormatting>
  <conditionalFormatting sqref="KC3">
    <cfRule type="cellIs" dxfId="118" priority="21" operator="lessThan">
      <formula>0</formula>
    </cfRule>
  </conditionalFormatting>
  <conditionalFormatting sqref="KC28:KW28">
    <cfRule type="cellIs" dxfId="117" priority="11" operator="lessThan">
      <formula>0</formula>
    </cfRule>
  </conditionalFormatting>
  <conditionalFormatting sqref="KD27">
    <cfRule type="cellIs" dxfId="116" priority="13" operator="lessThan">
      <formula>0</formula>
    </cfRule>
  </conditionalFormatting>
  <conditionalFormatting sqref="KH3:KI3 KI4">
    <cfRule type="cellIs" dxfId="115" priority="22" operator="lessThan">
      <formula>0</formula>
    </cfRule>
  </conditionalFormatting>
  <conditionalFormatting sqref="KJ7:KW27">
    <cfRule type="cellIs" dxfId="114" priority="10" operator="lessThan">
      <formula>0</formula>
    </cfRule>
  </conditionalFormatting>
  <conditionalFormatting sqref="KJ5:LD6">
    <cfRule type="cellIs" dxfId="113" priority="24" operator="lessThan">
      <formula>0</formula>
    </cfRule>
  </conditionalFormatting>
  <conditionalFormatting sqref="LF2">
    <cfRule type="cellIs" dxfId="112" priority="5" operator="lessThan">
      <formula>0</formula>
    </cfRule>
  </conditionalFormatting>
  <conditionalFormatting sqref="LI3:LI4">
    <cfRule type="cellIs" dxfId="111" priority="19" operator="lessThan">
      <formula>0</formula>
    </cfRule>
  </conditionalFormatting>
  <conditionalFormatting sqref="LJ4:LK4">
    <cfRule type="cellIs" dxfId="110" priority="18" operator="lessThan">
      <formula>0</formula>
    </cfRule>
  </conditionalFormatting>
  <conditionalFormatting sqref="LL3:LL4">
    <cfRule type="cellIs" dxfId="109" priority="17" operator="lessThan">
      <formula>0</formula>
    </cfRule>
  </conditionalFormatting>
  <conditionalFormatting sqref="LM4:LN4">
    <cfRule type="cellIs" dxfId="108" priority="16" operator="lessThan">
      <formula>0</formula>
    </cfRule>
  </conditionalFormatting>
  <conditionalFormatting sqref="LO3:LO4">
    <cfRule type="cellIs" dxfId="107" priority="15" operator="lessThan">
      <formula>0</formula>
    </cfRule>
  </conditionalFormatting>
  <conditionalFormatting sqref="LP4:LQ4">
    <cfRule type="cellIs" dxfId="106" priority="14" operator="lessThan">
      <formula>0</formula>
    </cfRule>
  </conditionalFormatting>
  <conditionalFormatting sqref="LU1">
    <cfRule type="cellIs" dxfId="105" priority="8" operator="lessThan">
      <formula>0</formula>
    </cfRule>
  </conditionalFormatting>
  <conditionalFormatting sqref="LU4:LW4">
    <cfRule type="cellIs" dxfId="104" priority="7" operator="lessThan">
      <formula>0</formula>
    </cfRule>
  </conditionalFormatting>
  <pageMargins left="0.7" right="0.7" top="0.75" bottom="0.75" header="0.3" footer="0.3"/>
  <pageSetup scale="10" orientation="landscape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4E40-F111-4B93-AE6A-9936FC636FC5}">
  <sheetPr>
    <tabColor theme="6"/>
    <pageSetUpPr autoPageBreaks="0"/>
  </sheetPr>
  <dimension ref="A1:KF50"/>
  <sheetViews>
    <sheetView zoomScale="90" zoomScaleNormal="90" workbookViewId="0">
      <selection activeCell="D18" sqref="D18"/>
    </sheetView>
  </sheetViews>
  <sheetFormatPr defaultColWidth="9.85546875" defaultRowHeight="15" x14ac:dyDescent="0.25"/>
  <cols>
    <col min="1" max="1" width="8.42578125" style="12" customWidth="1"/>
    <col min="2" max="2" width="35.7109375" style="12" customWidth="1"/>
    <col min="3" max="3" width="23.42578125" style="12" customWidth="1"/>
    <col min="4" max="4" width="20.7109375" style="12" customWidth="1"/>
    <col min="5" max="5" width="20.42578125" style="12" customWidth="1"/>
    <col min="6" max="6" width="3.85546875" style="12" customWidth="1"/>
    <col min="7" max="7" width="3.85546875" style="528" customWidth="1"/>
    <col min="8" max="9" width="3.85546875" style="12" customWidth="1"/>
    <col min="10" max="10" width="11.140625" style="12" customWidth="1"/>
    <col min="11" max="11" width="36" style="12" customWidth="1"/>
    <col min="12" max="12" width="19.85546875" style="12" customWidth="1"/>
    <col min="13" max="15" width="13.7109375" style="12" customWidth="1"/>
    <col min="16" max="16" width="16.85546875" style="12" customWidth="1"/>
    <col min="17" max="17" width="14.28515625" style="12" customWidth="1"/>
    <col min="18" max="18" width="3.85546875" style="12" customWidth="1"/>
    <col min="19" max="19" width="3.85546875" style="528" customWidth="1"/>
    <col min="20" max="21" width="3.85546875" style="12" customWidth="1"/>
    <col min="22" max="22" width="10.7109375" style="12" customWidth="1"/>
    <col min="23" max="23" width="33.42578125" style="12" bestFit="1" customWidth="1"/>
    <col min="24" max="24" width="17.42578125" style="12" customWidth="1"/>
    <col min="25" max="25" width="10.85546875" style="12" customWidth="1"/>
    <col min="26" max="26" width="3.85546875" style="12" customWidth="1"/>
    <col min="27" max="27" width="3.85546875" style="528" customWidth="1"/>
    <col min="28" max="28" width="3.85546875" style="12" customWidth="1"/>
    <col min="29" max="30" width="9.42578125" style="12" customWidth="1"/>
    <col min="31" max="31" width="36.5703125" style="12" customWidth="1"/>
    <col min="32" max="32" width="15.85546875" style="12" customWidth="1"/>
    <col min="33" max="33" width="3.85546875" style="12" customWidth="1"/>
    <col min="34" max="34" width="3.85546875" style="528" customWidth="1"/>
    <col min="35" max="35" width="3.85546875" style="12" customWidth="1"/>
    <col min="36" max="36" width="4.85546875" style="12" customWidth="1"/>
    <col min="37" max="37" width="62.28515625" style="12" customWidth="1"/>
    <col min="38" max="38" width="12.5703125" style="12" customWidth="1"/>
    <col min="39" max="39" width="3.85546875" style="12" customWidth="1"/>
    <col min="40" max="40" width="3.85546875" style="528" customWidth="1"/>
    <col min="41" max="41" width="3.85546875" style="12" customWidth="1"/>
    <col min="42" max="42" width="5" style="12" customWidth="1"/>
    <col min="43" max="43" width="10.42578125" style="12" customWidth="1"/>
    <col min="44" max="44" width="29.140625" style="12" customWidth="1"/>
    <col min="45" max="45" width="15.85546875" style="12" customWidth="1"/>
    <col min="46" max="46" width="15.140625" style="12" bestFit="1" customWidth="1"/>
    <col min="47" max="47" width="20" style="12" bestFit="1" customWidth="1"/>
    <col min="48" max="48" width="18.28515625" style="12" bestFit="1" customWidth="1"/>
    <col min="49" max="49" width="15.140625" style="12" bestFit="1" customWidth="1"/>
    <col min="50" max="50" width="19.42578125" style="12" customWidth="1"/>
    <col min="51" max="51" width="18.5703125" style="12" hidden="1" customWidth="1"/>
    <col min="52" max="52" width="14.85546875" style="12" hidden="1" customWidth="1"/>
    <col min="53" max="53" width="3.85546875" style="12" customWidth="1"/>
    <col min="54" max="54" width="3.85546875" style="528" customWidth="1"/>
    <col min="55" max="55" width="3.85546875" style="12" customWidth="1"/>
    <col min="56" max="56" width="4.42578125" style="12" bestFit="1" customWidth="1"/>
    <col min="57" max="57" width="34.42578125" style="12" bestFit="1" customWidth="1"/>
    <col min="58" max="58" width="12.5703125" style="12" bestFit="1" customWidth="1"/>
    <col min="59" max="59" width="14.28515625" style="12" bestFit="1" customWidth="1"/>
    <col min="60" max="60" width="3.85546875" style="12" customWidth="1"/>
    <col min="61" max="61" width="3.85546875" style="528" customWidth="1"/>
    <col min="62" max="62" width="3.85546875" style="12" customWidth="1"/>
    <col min="63" max="63" width="5.42578125" style="12" customWidth="1"/>
    <col min="64" max="64" width="11.140625" style="12" customWidth="1"/>
    <col min="65" max="65" width="36.5703125" style="12" customWidth="1"/>
    <col min="66" max="66" width="17.5703125" style="12" customWidth="1"/>
    <col min="67" max="67" width="19.5703125" style="12" customWidth="1"/>
    <col min="68" max="71" width="15.85546875" style="12" customWidth="1"/>
    <col min="72" max="72" width="3.85546875" style="12" customWidth="1"/>
    <col min="73" max="73" width="3.85546875" style="528" customWidth="1"/>
    <col min="74" max="74" width="3.85546875" style="12" customWidth="1"/>
    <col min="75" max="75" width="4.7109375" style="12" customWidth="1"/>
    <col min="76" max="76" width="18" style="12" bestFit="1" customWidth="1"/>
    <col min="77" max="77" width="13.7109375" style="12" customWidth="1"/>
    <col min="78" max="78" width="14.140625" style="12" customWidth="1"/>
    <col min="79" max="82" width="14.85546875" style="12" customWidth="1"/>
    <col min="83" max="83" width="3.85546875" style="12" customWidth="1"/>
    <col min="84" max="84" width="3.85546875" style="528" customWidth="1"/>
    <col min="85" max="85" width="3.85546875" style="12" customWidth="1"/>
    <col min="86" max="86" width="4.7109375" style="12" customWidth="1"/>
    <col min="87" max="87" width="10.42578125" style="60" customWidth="1"/>
    <col min="88" max="88" width="33.85546875" style="12" customWidth="1"/>
    <col min="89" max="95" width="15.42578125" style="12" customWidth="1"/>
    <col min="96" max="96" width="3.85546875" style="12" customWidth="1"/>
    <col min="97" max="97" width="3.85546875" style="528" customWidth="1"/>
    <col min="98" max="98" width="3.85546875" style="12" customWidth="1"/>
    <col min="99" max="99" width="4.42578125" style="12" customWidth="1"/>
    <col min="100" max="100" width="28.5703125" style="12" bestFit="1" customWidth="1"/>
    <col min="101" max="104" width="12.5703125" style="12" customWidth="1"/>
    <col min="105" max="105" width="15.85546875" style="12" customWidth="1"/>
    <col min="106" max="107" width="19.140625" style="12" customWidth="1"/>
    <col min="108" max="108" width="3.85546875" style="12" customWidth="1"/>
    <col min="109" max="109" width="3.85546875" style="528" customWidth="1"/>
    <col min="110" max="110" width="3.85546875" style="12" customWidth="1"/>
    <col min="111" max="111" width="5.5703125" style="12" customWidth="1"/>
    <col min="112" max="112" width="10.85546875" style="12" customWidth="1"/>
    <col min="113" max="113" width="32.85546875" style="12" customWidth="1"/>
    <col min="114" max="114" width="12.5703125" style="12" customWidth="1"/>
    <col min="115" max="115" width="14.85546875" style="12" customWidth="1"/>
    <col min="116" max="116" width="15.85546875" style="12" customWidth="1"/>
    <col min="117" max="117" width="14.85546875" style="12" customWidth="1"/>
    <col min="118" max="118" width="12.5703125" style="12" customWidth="1"/>
    <col min="119" max="119" width="14.85546875" style="12" customWidth="1"/>
    <col min="120" max="120" width="15.85546875" style="12" customWidth="1"/>
    <col min="121" max="121" width="12.5703125" style="12" customWidth="1"/>
    <col min="122" max="122" width="14.7109375" style="12" customWidth="1"/>
    <col min="123" max="123" width="3.85546875" style="12" customWidth="1"/>
    <col min="124" max="124" width="3.85546875" style="528" customWidth="1"/>
    <col min="125" max="125" width="3.85546875" style="12" customWidth="1"/>
    <col min="126" max="126" width="5.85546875" style="12" customWidth="1"/>
    <col min="127" max="127" width="10.5703125" style="12" customWidth="1"/>
    <col min="128" max="128" width="36.140625" style="12" customWidth="1"/>
    <col min="129" max="129" width="15.85546875" style="12" customWidth="1"/>
    <col min="130" max="130" width="15.28515625" style="12" customWidth="1"/>
    <col min="131" max="131" width="14.7109375" style="12" customWidth="1"/>
    <col min="132" max="132" width="3.85546875" style="12" customWidth="1"/>
    <col min="133" max="133" width="3.85546875" style="528" customWidth="1"/>
    <col min="134" max="134" width="3.85546875" style="12" customWidth="1"/>
    <col min="135" max="135" width="4.42578125" style="12" customWidth="1"/>
    <col min="136" max="137" width="13.7109375" style="12" customWidth="1"/>
    <col min="138" max="138" width="12.5703125" style="12" customWidth="1"/>
    <col min="139" max="139" width="14.140625" style="12" customWidth="1"/>
    <col min="140" max="140" width="3.85546875" style="12" customWidth="1"/>
    <col min="141" max="141" width="3.85546875" style="528" customWidth="1"/>
    <col min="142" max="142" width="3.85546875" style="12" customWidth="1"/>
    <col min="143" max="143" width="5.42578125" style="12" customWidth="1"/>
    <col min="144" max="144" width="11.140625" style="12" customWidth="1"/>
    <col min="145" max="145" width="32.85546875" style="12" customWidth="1"/>
    <col min="146" max="146" width="13.7109375" style="12" customWidth="1"/>
    <col min="147" max="147" width="14.85546875" style="12" bestFit="1" customWidth="1"/>
    <col min="148" max="151" width="13.7109375" style="12" customWidth="1"/>
    <col min="152" max="152" width="14.85546875" style="12" customWidth="1"/>
    <col min="153" max="154" width="13.7109375" style="12" customWidth="1"/>
    <col min="155" max="155" width="3.85546875" style="12" customWidth="1"/>
    <col min="156" max="156" width="3.85546875" style="528" customWidth="1"/>
    <col min="157" max="157" width="3.85546875" style="12" customWidth="1"/>
    <col min="158" max="158" width="5" style="12" customWidth="1"/>
    <col min="159" max="159" width="31.7109375" style="12" customWidth="1"/>
    <col min="160" max="160" width="20.28515625" style="12" customWidth="1"/>
    <col min="161" max="161" width="3.85546875" style="12" customWidth="1"/>
    <col min="162" max="162" width="3.85546875" style="528" customWidth="1"/>
    <col min="163" max="163" width="3.85546875" style="12" customWidth="1"/>
    <col min="164" max="164" width="5.140625" style="12" customWidth="1"/>
    <col min="165" max="165" width="10.85546875" style="12" customWidth="1"/>
    <col min="166" max="166" width="38.140625" style="12" customWidth="1"/>
    <col min="167" max="167" width="11.5703125" style="12" customWidth="1"/>
    <col min="168" max="168" width="19.140625" style="12" customWidth="1"/>
    <col min="169" max="169" width="14.85546875" style="12" customWidth="1"/>
    <col min="170" max="170" width="3.85546875" style="12" customWidth="1"/>
    <col min="171" max="171" width="3.85546875" style="528" customWidth="1"/>
    <col min="172" max="172" width="3.85546875" style="12" customWidth="1"/>
    <col min="173" max="173" width="5.42578125" style="12" customWidth="1"/>
    <col min="174" max="174" width="10.140625" style="12" customWidth="1"/>
    <col min="175" max="175" width="36" style="12" customWidth="1"/>
    <col min="176" max="176" width="16.42578125" style="12" bestFit="1" customWidth="1"/>
    <col min="177" max="177" width="15.85546875" style="12" bestFit="1" customWidth="1"/>
    <col min="178" max="178" width="15.42578125" style="12" bestFit="1" customWidth="1"/>
    <col min="179" max="179" width="14.85546875" style="12" bestFit="1" customWidth="1"/>
    <col min="180" max="180" width="14.28515625" style="12" bestFit="1" customWidth="1"/>
    <col min="181" max="181" width="15.42578125" style="12" bestFit="1" customWidth="1"/>
    <col min="182" max="182" width="15.85546875" style="12" bestFit="1" customWidth="1"/>
    <col min="183" max="183" width="17" style="12" bestFit="1" customWidth="1"/>
    <col min="184" max="184" width="14.7109375" style="12" customWidth="1"/>
    <col min="185" max="185" width="2.85546875" style="12" customWidth="1"/>
    <col min="186" max="186" width="3.85546875" style="528" customWidth="1"/>
    <col min="187" max="187" width="3.85546875" style="12" customWidth="1"/>
    <col min="188" max="188" width="5.140625" style="12" customWidth="1"/>
    <col min="189" max="189" width="10.42578125" style="12" customWidth="1"/>
    <col min="190" max="190" width="36" style="12" customWidth="1"/>
    <col min="191" max="191" width="17.140625" style="12" customWidth="1"/>
    <col min="192" max="196" width="15.85546875" style="12" customWidth="1"/>
    <col min="197" max="197" width="23.7109375" style="12" customWidth="1"/>
    <col min="198" max="198" width="15.85546875" style="12" customWidth="1"/>
    <col min="199" max="199" width="19.140625" style="12" bestFit="1" customWidth="1"/>
    <col min="200" max="200" width="4.42578125" style="12" customWidth="1"/>
    <col min="201" max="201" width="3.85546875" style="528" customWidth="1"/>
    <col min="202" max="202" width="3.85546875" style="12" customWidth="1"/>
    <col min="203" max="203" width="5.7109375" style="12" customWidth="1"/>
    <col min="204" max="204" width="10.5703125" style="12" customWidth="1"/>
    <col min="205" max="205" width="33.28515625" style="12" customWidth="1"/>
    <col min="206" max="206" width="15.42578125" style="12" customWidth="1"/>
    <col min="207" max="207" width="17" style="12" bestFit="1" customWidth="1"/>
    <col min="208" max="208" width="19.140625" style="12" customWidth="1"/>
    <col min="209" max="209" width="14.85546875" style="12" customWidth="1"/>
    <col min="210" max="210" width="17" style="12" bestFit="1" customWidth="1"/>
    <col min="211" max="211" width="17" style="12" customWidth="1"/>
    <col min="212" max="212" width="2.85546875" style="12" customWidth="1"/>
    <col min="213" max="213" width="3.85546875" style="528" customWidth="1"/>
    <col min="214" max="214" width="3.85546875" style="12" customWidth="1"/>
    <col min="215" max="215" width="5.5703125" style="12" customWidth="1"/>
    <col min="216" max="216" width="14.85546875" style="12" customWidth="1"/>
    <col min="217" max="217" width="16.85546875" style="12" bestFit="1" customWidth="1"/>
    <col min="218" max="218" width="14.85546875" style="12" customWidth="1"/>
    <col min="219" max="219" width="16.85546875" style="12" bestFit="1" customWidth="1"/>
    <col min="220" max="220" width="13.7109375" style="12" customWidth="1"/>
    <col min="221" max="221" width="2.85546875" style="12" customWidth="1"/>
    <col min="222" max="222" width="3.85546875" style="528" customWidth="1"/>
    <col min="223" max="223" width="3.85546875" style="12" customWidth="1"/>
    <col min="224" max="224" width="7.140625" style="12" customWidth="1"/>
    <col min="225" max="225" width="9.85546875" style="12" customWidth="1"/>
    <col min="226" max="226" width="31.140625" style="12" bestFit="1" customWidth="1"/>
    <col min="227" max="227" width="15.5703125" style="12" customWidth="1"/>
    <col min="228" max="228" width="20.85546875" style="12" customWidth="1"/>
    <col min="229" max="229" width="22.140625" style="12" customWidth="1"/>
    <col min="230" max="230" width="11" style="12" customWidth="1"/>
    <col min="231" max="231" width="10.42578125" style="12" customWidth="1"/>
    <col min="232" max="232" width="15.85546875" style="12" customWidth="1"/>
    <col min="233" max="233" width="3.85546875" style="12" customWidth="1"/>
    <col min="234" max="234" width="3.85546875" style="528" customWidth="1"/>
    <col min="235" max="235" width="3.85546875" style="12" customWidth="1"/>
    <col min="236" max="237" width="13.42578125" style="12" bestFit="1" customWidth="1"/>
    <col min="238" max="238" width="16.42578125" style="12" bestFit="1" customWidth="1"/>
    <col min="239" max="239" width="9.85546875" style="12" bestFit="1" customWidth="1"/>
    <col min="240" max="240" width="21.85546875" style="12" bestFit="1" customWidth="1"/>
    <col min="241" max="241" width="13.42578125" style="12" bestFit="1" customWidth="1"/>
    <col min="242" max="242" width="12.5703125" style="12" bestFit="1" customWidth="1"/>
    <col min="243" max="243" width="21.5703125" style="12" customWidth="1"/>
    <col min="244" max="244" width="12.42578125" style="12" bestFit="1" customWidth="1"/>
    <col min="245" max="245" width="11.28515625" style="12" bestFit="1" customWidth="1"/>
    <col min="246" max="246" width="13.140625" style="12" bestFit="1" customWidth="1"/>
    <col min="247" max="247" width="3.85546875" style="528" customWidth="1"/>
    <col min="248" max="248" width="13.7109375" style="12" bestFit="1" customWidth="1"/>
    <col min="249" max="249" width="4.42578125" style="12" bestFit="1" customWidth="1"/>
    <col min="250" max="250" width="9" style="12" bestFit="1" customWidth="1"/>
    <col min="251" max="251" width="32.5703125" style="12" customWidth="1"/>
    <col min="252" max="252" width="17.140625" style="12" customWidth="1"/>
    <col min="253" max="253" width="16.42578125" style="12" customWidth="1"/>
    <col min="254" max="255" width="18.85546875" style="12" customWidth="1"/>
    <col min="256" max="256" width="21.28515625" style="12" customWidth="1"/>
    <col min="257" max="257" width="20.42578125" style="12" customWidth="1"/>
    <col min="258" max="258" width="20" style="12" customWidth="1"/>
    <col min="259" max="259" width="15.28515625" style="12" customWidth="1"/>
    <col min="260" max="260" width="13.85546875" style="12" customWidth="1"/>
    <col min="261" max="261" width="16.85546875" style="12" customWidth="1"/>
    <col min="262" max="262" width="9.5703125" style="12" customWidth="1"/>
    <col min="263" max="263" width="9.85546875" style="12"/>
    <col min="264" max="264" width="3.85546875" style="528" customWidth="1"/>
    <col min="265" max="265" width="9.85546875" style="12"/>
    <col min="266" max="266" width="11" style="12" bestFit="1" customWidth="1"/>
    <col min="267" max="267" width="9.42578125" style="12" bestFit="1" customWidth="1"/>
    <col min="268" max="268" width="32.28515625" style="12" customWidth="1"/>
    <col min="269" max="269" width="18" style="12" customWidth="1"/>
    <col min="270" max="270" width="19.42578125" style="12" customWidth="1"/>
    <col min="271" max="271" width="15.5703125" style="12" bestFit="1" customWidth="1"/>
    <col min="272" max="272" width="8.28515625" style="12" bestFit="1" customWidth="1"/>
    <col min="273" max="273" width="11.85546875" style="12" customWidth="1"/>
    <col min="274" max="274" width="13.7109375" style="12" customWidth="1"/>
    <col min="275" max="276" width="9.85546875" style="12"/>
    <col min="277" max="277" width="3.85546875" style="528" customWidth="1"/>
    <col min="279" max="279" width="13.85546875" customWidth="1"/>
    <col min="280" max="280" width="11.7109375" customWidth="1"/>
    <col min="281" max="281" width="14" bestFit="1" customWidth="1"/>
    <col min="282" max="282" width="11.7109375" customWidth="1"/>
    <col min="284" max="284" width="14.140625" bestFit="1" customWidth="1"/>
    <col min="285" max="285" width="13.28515625" bestFit="1" customWidth="1"/>
    <col min="287" max="287" width="17" customWidth="1"/>
    <col min="288" max="288" width="12.28515625" customWidth="1"/>
    <col min="291" max="291" width="20.85546875" customWidth="1"/>
    <col min="292" max="292" width="13.28515625" bestFit="1" customWidth="1"/>
  </cols>
  <sheetData>
    <row r="1" spans="1:292" s="516" customFormat="1" ht="16.5" x14ac:dyDescent="0.3">
      <c r="A1" s="1063" t="s">
        <v>258</v>
      </c>
      <c r="B1" s="1063"/>
      <c r="C1" s="1063"/>
      <c r="D1" s="1063"/>
      <c r="E1" s="1063"/>
      <c r="F1" s="510"/>
      <c r="G1" s="511"/>
      <c r="H1" s="510"/>
      <c r="I1" s="1064" t="s">
        <v>259</v>
      </c>
      <c r="J1" s="1064"/>
      <c r="K1" s="1064"/>
      <c r="L1" s="1064"/>
      <c r="M1" s="1064"/>
      <c r="N1" s="1064"/>
      <c r="O1" s="1064"/>
      <c r="P1" s="1064"/>
      <c r="Q1" s="1064"/>
      <c r="R1" s="510"/>
      <c r="S1" s="511"/>
      <c r="T1" s="510"/>
      <c r="U1" s="1064" t="s">
        <v>260</v>
      </c>
      <c r="V1" s="1064"/>
      <c r="W1" s="1064"/>
      <c r="X1" s="1064"/>
      <c r="Y1" s="1064"/>
      <c r="Z1" s="510"/>
      <c r="AA1" s="511"/>
      <c r="AB1" s="510"/>
      <c r="AC1" s="1063" t="s">
        <v>261</v>
      </c>
      <c r="AD1" s="1063"/>
      <c r="AE1" s="1063"/>
      <c r="AF1" s="1063"/>
      <c r="AG1" s="512"/>
      <c r="AH1" s="511"/>
      <c r="AI1" s="510"/>
      <c r="AJ1" s="1065" t="s">
        <v>262</v>
      </c>
      <c r="AK1" s="1065"/>
      <c r="AL1" s="1065"/>
      <c r="AM1" s="5"/>
      <c r="AN1" s="513"/>
      <c r="AO1" s="5"/>
      <c r="AP1" s="1066" t="s">
        <v>263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510"/>
      <c r="BB1" s="511"/>
      <c r="BC1" s="510"/>
      <c r="BD1" s="1065" t="s">
        <v>264</v>
      </c>
      <c r="BE1" s="1065"/>
      <c r="BF1" s="1065"/>
      <c r="BG1" s="1065"/>
      <c r="BH1" s="510"/>
      <c r="BI1" s="511"/>
      <c r="BJ1" s="510"/>
      <c r="BK1" s="1067" t="s">
        <v>265</v>
      </c>
      <c r="BL1" s="1067"/>
      <c r="BM1" s="1067"/>
      <c r="BN1" s="1067"/>
      <c r="BO1" s="1067"/>
      <c r="BP1" s="1067"/>
      <c r="BQ1" s="1067"/>
      <c r="BR1" s="1067"/>
      <c r="BS1" s="1067"/>
      <c r="BT1" s="510"/>
      <c r="BU1" s="511"/>
      <c r="BV1" s="510"/>
      <c r="BW1" s="1064" t="s">
        <v>266</v>
      </c>
      <c r="BX1" s="1064"/>
      <c r="BY1" s="1064"/>
      <c r="BZ1" s="1064"/>
      <c r="CA1" s="1064"/>
      <c r="CB1" s="1064"/>
      <c r="CC1" s="1064"/>
      <c r="CD1" s="1064"/>
      <c r="CE1" s="510"/>
      <c r="CF1" s="511"/>
      <c r="CG1" s="510"/>
      <c r="CH1" s="1064" t="s">
        <v>267</v>
      </c>
      <c r="CI1" s="1064"/>
      <c r="CJ1" s="1064"/>
      <c r="CK1" s="1064"/>
      <c r="CL1" s="1064"/>
      <c r="CM1" s="1064"/>
      <c r="CN1" s="1064"/>
      <c r="CO1" s="1064"/>
      <c r="CP1" s="1064"/>
      <c r="CQ1" s="1064"/>
      <c r="CR1" s="510"/>
      <c r="CS1" s="511"/>
      <c r="CT1" s="510"/>
      <c r="CU1" s="1064" t="s">
        <v>268</v>
      </c>
      <c r="CV1" s="1064"/>
      <c r="CW1" s="1064"/>
      <c r="CX1" s="1064"/>
      <c r="CY1" s="1064"/>
      <c r="CZ1" s="1064"/>
      <c r="DA1" s="1064"/>
      <c r="DB1" s="1064"/>
      <c r="DC1" s="1064"/>
      <c r="DD1" s="510"/>
      <c r="DE1" s="511"/>
      <c r="DF1" s="510"/>
      <c r="DG1" s="1062" t="s">
        <v>269</v>
      </c>
      <c r="DH1" s="1062"/>
      <c r="DI1" s="1062"/>
      <c r="DJ1" s="1062"/>
      <c r="DK1" s="1062"/>
      <c r="DL1" s="1062"/>
      <c r="DM1" s="1062"/>
      <c r="DN1" s="1062"/>
      <c r="DO1" s="1062"/>
      <c r="DP1" s="1062"/>
      <c r="DQ1" s="1062"/>
      <c r="DR1" s="1062"/>
      <c r="DS1" s="510"/>
      <c r="DT1" s="511"/>
      <c r="DU1" s="510"/>
      <c r="DV1" s="1062" t="s">
        <v>270</v>
      </c>
      <c r="DW1" s="1062"/>
      <c r="DX1" s="1062"/>
      <c r="DY1" s="1062"/>
      <c r="DZ1" s="1062"/>
      <c r="EA1" s="1062"/>
      <c r="EB1" s="510"/>
      <c r="EC1" s="511"/>
      <c r="ED1" s="510"/>
      <c r="EE1" s="1063" t="s">
        <v>271</v>
      </c>
      <c r="EF1" s="1063"/>
      <c r="EG1" s="1063"/>
      <c r="EH1" s="1063"/>
      <c r="EI1" s="1063"/>
      <c r="EJ1" s="510"/>
      <c r="EK1" s="511"/>
      <c r="EL1" s="510"/>
      <c r="EM1" s="1062" t="s">
        <v>272</v>
      </c>
      <c r="EN1" s="1062"/>
      <c r="EO1" s="1062"/>
      <c r="EP1" s="1062"/>
      <c r="EQ1" s="1062"/>
      <c r="ER1" s="1062"/>
      <c r="ES1" s="1062"/>
      <c r="ET1" s="1062"/>
      <c r="EU1" s="1062"/>
      <c r="EV1" s="1062"/>
      <c r="EW1" s="1062"/>
      <c r="EX1" s="1062"/>
      <c r="EY1" s="510"/>
      <c r="EZ1" s="511"/>
      <c r="FA1" s="510"/>
      <c r="FB1" s="1063" t="s">
        <v>273</v>
      </c>
      <c r="FC1" s="1063"/>
      <c r="FD1" s="1063"/>
      <c r="FE1" s="510"/>
      <c r="FF1" s="511"/>
      <c r="FG1" s="510"/>
      <c r="FH1" s="1062" t="s">
        <v>274</v>
      </c>
      <c r="FI1" s="1062"/>
      <c r="FJ1" s="1062"/>
      <c r="FK1" s="1062"/>
      <c r="FL1" s="1062"/>
      <c r="FM1" s="1062"/>
      <c r="FN1" s="510"/>
      <c r="FO1" s="513"/>
      <c r="FP1" s="5"/>
      <c r="FQ1" s="1064" t="s">
        <v>275</v>
      </c>
      <c r="FR1" s="1064"/>
      <c r="FS1" s="1064"/>
      <c r="FT1" s="1064"/>
      <c r="FU1" s="1064"/>
      <c r="FV1" s="1064"/>
      <c r="FW1" s="1064"/>
      <c r="FX1" s="1064"/>
      <c r="FY1" s="1064"/>
      <c r="FZ1" s="1064"/>
      <c r="GA1" s="1064"/>
      <c r="GB1" s="1064"/>
      <c r="GC1" s="509"/>
      <c r="GD1" s="513"/>
      <c r="GE1" s="5"/>
      <c r="GF1" s="1066" t="s">
        <v>276</v>
      </c>
      <c r="GG1" s="1066"/>
      <c r="GH1" s="1066"/>
      <c r="GI1" s="1066"/>
      <c r="GJ1" s="1066"/>
      <c r="GK1" s="1066"/>
      <c r="GL1" s="1066"/>
      <c r="GM1" s="1066"/>
      <c r="GN1" s="1066"/>
      <c r="GO1" s="1066"/>
      <c r="GP1" s="1066"/>
      <c r="GQ1" s="1066"/>
      <c r="GR1" s="514"/>
      <c r="GS1" s="513"/>
      <c r="GT1" s="5"/>
      <c r="GU1" s="1063" t="s">
        <v>277</v>
      </c>
      <c r="GV1" s="1063"/>
      <c r="GW1" s="1063"/>
      <c r="GX1" s="1063"/>
      <c r="GY1" s="1063"/>
      <c r="GZ1" s="1063"/>
      <c r="HA1" s="1063"/>
      <c r="HB1" s="1063"/>
      <c r="HC1" s="1063"/>
      <c r="HD1" s="515"/>
      <c r="HE1" s="513"/>
      <c r="HF1" s="5"/>
      <c r="HG1" s="1063" t="s">
        <v>278</v>
      </c>
      <c r="HH1" s="1063"/>
      <c r="HI1" s="1063"/>
      <c r="HJ1" s="1063"/>
      <c r="HK1" s="1063"/>
      <c r="HL1" s="1063"/>
      <c r="HM1" s="515"/>
      <c r="HN1" s="513"/>
      <c r="HO1" s="5"/>
      <c r="HP1" s="1064" t="s">
        <v>279</v>
      </c>
      <c r="HQ1" s="1064"/>
      <c r="HR1" s="1064"/>
      <c r="HS1" s="1064"/>
      <c r="HT1" s="1064"/>
      <c r="HU1" s="1064"/>
      <c r="HV1" s="1064"/>
      <c r="HW1" s="1064"/>
      <c r="HX1" s="1064"/>
      <c r="HY1" s="510"/>
      <c r="HZ1" s="511"/>
      <c r="IA1" s="510"/>
      <c r="IB1" s="1065" t="s">
        <v>280</v>
      </c>
      <c r="IC1" s="1065"/>
      <c r="ID1" s="1065"/>
      <c r="IE1" s="1065"/>
      <c r="IF1" s="1065"/>
      <c r="IG1" s="1065"/>
      <c r="IH1" s="1065"/>
      <c r="II1" s="1065"/>
      <c r="IJ1" s="1065"/>
      <c r="IK1" s="1065"/>
      <c r="IL1" s="510"/>
      <c r="IM1" s="511"/>
      <c r="IN1" s="510"/>
      <c r="IO1" s="1065" t="s">
        <v>281</v>
      </c>
      <c r="IP1" s="1065"/>
      <c r="IQ1" s="1065"/>
      <c r="IR1" s="1065"/>
      <c r="IS1" s="1065"/>
      <c r="IT1" s="1065"/>
      <c r="IU1" s="1065"/>
      <c r="IV1" s="1065"/>
      <c r="IW1" s="1065"/>
      <c r="IX1" s="1065"/>
      <c r="IY1" s="1065"/>
      <c r="IZ1" s="1065"/>
      <c r="JA1" s="1065"/>
      <c r="JB1" s="1065"/>
      <c r="JC1" s="5"/>
      <c r="JD1" s="513"/>
      <c r="JE1" s="5"/>
      <c r="JF1" s="1064" t="s">
        <v>282</v>
      </c>
      <c r="JG1" s="1064"/>
      <c r="JH1" s="1064"/>
      <c r="JI1" s="1064"/>
      <c r="JJ1" s="1064"/>
      <c r="JK1" s="1064"/>
      <c r="JL1" s="1064"/>
      <c r="JM1" s="1064"/>
      <c r="JN1" s="1064"/>
      <c r="JO1" s="5"/>
      <c r="JP1" s="5"/>
      <c r="JQ1" s="513"/>
      <c r="JS1" s="516" t="s">
        <v>438</v>
      </c>
      <c r="JX1" s="516" t="s">
        <v>436</v>
      </c>
      <c r="JY1" s="516" t="s">
        <v>437</v>
      </c>
    </row>
    <row r="2" spans="1:292" ht="77.25" customHeight="1" x14ac:dyDescent="0.3">
      <c r="A2" s="517"/>
      <c r="B2" s="518"/>
      <c r="C2" s="75" t="s">
        <v>283</v>
      </c>
      <c r="D2" s="75" t="s">
        <v>284</v>
      </c>
      <c r="E2" s="75" t="s">
        <v>285</v>
      </c>
      <c r="F2" s="46"/>
      <c r="G2" s="519"/>
      <c r="H2" s="46"/>
      <c r="I2" s="517"/>
      <c r="J2" s="75" t="s">
        <v>286</v>
      </c>
      <c r="K2" s="75" t="s">
        <v>287</v>
      </c>
      <c r="L2" s="987" t="s">
        <v>288</v>
      </c>
      <c r="M2" s="75" t="s">
        <v>289</v>
      </c>
      <c r="N2" s="987" t="s">
        <v>290</v>
      </c>
      <c r="O2" s="75" t="s">
        <v>291</v>
      </c>
      <c r="P2" s="75" t="s">
        <v>292</v>
      </c>
      <c r="Q2" s="75" t="s">
        <v>293</v>
      </c>
      <c r="R2" s="46"/>
      <c r="S2" s="519"/>
      <c r="T2" s="46"/>
      <c r="U2" s="517"/>
      <c r="V2" s="75" t="s">
        <v>286</v>
      </c>
      <c r="W2" s="75" t="s">
        <v>287</v>
      </c>
      <c r="X2" s="75" t="s">
        <v>294</v>
      </c>
      <c r="Y2" s="75" t="s">
        <v>295</v>
      </c>
      <c r="Z2" s="46"/>
      <c r="AA2" s="519"/>
      <c r="AB2" s="46"/>
      <c r="AC2" s="520"/>
      <c r="AD2" s="521" t="s">
        <v>286</v>
      </c>
      <c r="AE2" s="75" t="s">
        <v>287</v>
      </c>
      <c r="AF2" s="988" t="s">
        <v>296</v>
      </c>
      <c r="AG2" s="46"/>
      <c r="AH2" s="519"/>
      <c r="AI2" s="46"/>
      <c r="AJ2" s="517"/>
      <c r="AK2" s="75"/>
      <c r="AL2" s="75" t="s">
        <v>127</v>
      </c>
      <c r="AM2" s="522"/>
      <c r="AN2" s="523"/>
      <c r="AO2" s="522"/>
      <c r="AP2" s="517"/>
      <c r="AQ2" s="75" t="s">
        <v>286</v>
      </c>
      <c r="AR2" s="75" t="s">
        <v>287</v>
      </c>
      <c r="AS2" s="75" t="s">
        <v>297</v>
      </c>
      <c r="AT2" s="1002" t="s">
        <v>298</v>
      </c>
      <c r="AU2" s="75" t="s">
        <v>299</v>
      </c>
      <c r="AV2" s="75" t="s">
        <v>300</v>
      </c>
      <c r="AW2" s="75" t="s">
        <v>301</v>
      </c>
      <c r="AX2" s="75" t="s">
        <v>302</v>
      </c>
      <c r="AY2" s="524" t="s">
        <v>303</v>
      </c>
      <c r="AZ2" s="524" t="s">
        <v>304</v>
      </c>
      <c r="BA2" s="46"/>
      <c r="BB2" s="519"/>
      <c r="BC2" s="177"/>
      <c r="BD2" s="517"/>
      <c r="BE2" s="75" t="s">
        <v>305</v>
      </c>
      <c r="BF2" s="75" t="s">
        <v>306</v>
      </c>
      <c r="BG2" s="75" t="s">
        <v>307</v>
      </c>
      <c r="BH2" s="46"/>
      <c r="BI2" s="519"/>
      <c r="BJ2" s="46"/>
      <c r="BK2" s="517"/>
      <c r="BL2" s="75" t="s">
        <v>286</v>
      </c>
      <c r="BM2" s="75" t="s">
        <v>287</v>
      </c>
      <c r="BN2" s="75" t="str">
        <f>BE4</f>
        <v>Direct and Collector Labour Allocator</v>
      </c>
      <c r="BO2" s="75" t="s">
        <v>308</v>
      </c>
      <c r="BP2" s="75" t="str">
        <f>BE5</f>
        <v>Volume Allocator</v>
      </c>
      <c r="BQ2" s="75" t="s">
        <v>309</v>
      </c>
      <c r="BR2" s="75" t="s">
        <v>310</v>
      </c>
      <c r="BS2" s="75" t="s">
        <v>285</v>
      </c>
      <c r="BT2" s="46"/>
      <c r="BU2" s="519"/>
      <c r="BV2" s="46"/>
      <c r="BW2" s="517"/>
      <c r="BX2" s="106"/>
      <c r="BY2" s="987" t="s">
        <v>311</v>
      </c>
      <c r="BZ2" s="75" t="s">
        <v>312</v>
      </c>
      <c r="CA2" s="75" t="s">
        <v>313</v>
      </c>
      <c r="CB2" s="75" t="s">
        <v>314</v>
      </c>
      <c r="CC2" s="75" t="s">
        <v>315</v>
      </c>
      <c r="CD2" s="75" t="s">
        <v>316</v>
      </c>
      <c r="CE2" s="46"/>
      <c r="CF2" s="519"/>
      <c r="CG2" s="46"/>
      <c r="CH2" s="517"/>
      <c r="CI2" s="75" t="s">
        <v>286</v>
      </c>
      <c r="CJ2" s="75" t="s">
        <v>287</v>
      </c>
      <c r="CK2" s="75" t="s">
        <v>317</v>
      </c>
      <c r="CL2" s="75" t="s">
        <v>318</v>
      </c>
      <c r="CM2" s="75" t="s">
        <v>319</v>
      </c>
      <c r="CN2" s="75" t="s">
        <v>320</v>
      </c>
      <c r="CO2" s="75" t="s">
        <v>321</v>
      </c>
      <c r="CP2" s="75" t="s">
        <v>322</v>
      </c>
      <c r="CQ2" s="75" t="s">
        <v>285</v>
      </c>
      <c r="CR2" s="46"/>
      <c r="CS2" s="519"/>
      <c r="CT2" s="46"/>
      <c r="CU2" s="517"/>
      <c r="CV2" s="75" t="s">
        <v>323</v>
      </c>
      <c r="CW2" s="75" t="s">
        <v>322</v>
      </c>
      <c r="CX2" s="75" t="s">
        <v>292</v>
      </c>
      <c r="CY2" s="525" t="s">
        <v>317</v>
      </c>
      <c r="CZ2" s="75" t="str">
        <f>CW2</f>
        <v>Building Allocator</v>
      </c>
      <c r="DA2" s="75" t="str">
        <f>CX2</f>
        <v>Pallet Allocator</v>
      </c>
      <c r="DB2" s="75" t="str">
        <f>CY2</f>
        <v>Volume Allocator</v>
      </c>
      <c r="DC2" s="987" t="s">
        <v>324</v>
      </c>
      <c r="DD2" s="46"/>
      <c r="DE2" s="519"/>
      <c r="DF2" s="46"/>
      <c r="DG2" s="517"/>
      <c r="DH2" s="75" t="s">
        <v>286</v>
      </c>
      <c r="DI2" s="75" t="s">
        <v>287</v>
      </c>
      <c r="DJ2" s="75" t="s">
        <v>322</v>
      </c>
      <c r="DK2" s="75" t="s">
        <v>325</v>
      </c>
      <c r="DL2" s="75" t="s">
        <v>292</v>
      </c>
      <c r="DM2" s="75" t="s">
        <v>326</v>
      </c>
      <c r="DN2" s="75" t="s">
        <v>317</v>
      </c>
      <c r="DO2" s="75" t="s">
        <v>327</v>
      </c>
      <c r="DP2" s="75" t="s">
        <v>328</v>
      </c>
      <c r="DQ2" s="75" t="s">
        <v>329</v>
      </c>
      <c r="DR2" s="75" t="s">
        <v>285</v>
      </c>
      <c r="DS2" s="46"/>
      <c r="DT2" s="519"/>
      <c r="DU2" s="46"/>
      <c r="DV2" s="517"/>
      <c r="DW2" s="75" t="s">
        <v>286</v>
      </c>
      <c r="DX2" s="75" t="s">
        <v>287</v>
      </c>
      <c r="DY2" s="75" t="s">
        <v>292</v>
      </c>
      <c r="DZ2" s="75" t="s">
        <v>330</v>
      </c>
      <c r="EA2" s="75" t="s">
        <v>285</v>
      </c>
      <c r="EB2" s="46"/>
      <c r="EC2" s="519"/>
      <c r="ED2" s="46"/>
      <c r="EE2" s="526"/>
      <c r="EF2" s="75" t="s">
        <v>305</v>
      </c>
      <c r="EG2" s="987" t="s">
        <v>331</v>
      </c>
      <c r="EH2" s="75" t="s">
        <v>306</v>
      </c>
      <c r="EI2" s="75" t="s">
        <v>307</v>
      </c>
      <c r="EJ2" s="46"/>
      <c r="EK2" s="519"/>
      <c r="EL2" s="46"/>
      <c r="EM2" s="517"/>
      <c r="EN2" s="75" t="s">
        <v>286</v>
      </c>
      <c r="EO2" s="75" t="s">
        <v>287</v>
      </c>
      <c r="EP2" s="75" t="s">
        <v>295</v>
      </c>
      <c r="EQ2" s="75" t="s">
        <v>332</v>
      </c>
      <c r="ER2" s="75" t="s">
        <v>322</v>
      </c>
      <c r="ES2" s="75" t="s">
        <v>333</v>
      </c>
      <c r="ET2" s="75" t="s">
        <v>317</v>
      </c>
      <c r="EU2" s="75" t="s">
        <v>334</v>
      </c>
      <c r="EV2" s="75" t="s">
        <v>335</v>
      </c>
      <c r="EW2" s="75" t="s">
        <v>329</v>
      </c>
      <c r="EX2" s="75" t="s">
        <v>285</v>
      </c>
      <c r="EY2" s="46"/>
      <c r="EZ2" s="519"/>
      <c r="FA2" s="46"/>
      <c r="FB2" s="527"/>
      <c r="FC2" s="64" t="s">
        <v>126</v>
      </c>
      <c r="FD2" s="64" t="s">
        <v>336</v>
      </c>
      <c r="FE2" s="46"/>
      <c r="FF2" s="519"/>
      <c r="FG2" s="46"/>
      <c r="FH2" s="517"/>
      <c r="FI2" s="75" t="s">
        <v>286</v>
      </c>
      <c r="FJ2" s="75" t="s">
        <v>287</v>
      </c>
      <c r="FK2" s="75" t="str">
        <f>Y2</f>
        <v>Business Cost Allocator</v>
      </c>
      <c r="FL2" s="75" t="s">
        <v>337</v>
      </c>
      <c r="FM2" s="75" t="s">
        <v>285</v>
      </c>
      <c r="FN2" s="46"/>
      <c r="FQ2" s="517"/>
      <c r="FR2" s="75" t="s">
        <v>286</v>
      </c>
      <c r="FS2" s="75" t="s">
        <v>287</v>
      </c>
      <c r="FT2" s="75" t="s">
        <v>338</v>
      </c>
      <c r="FU2" s="75" t="s">
        <v>48</v>
      </c>
      <c r="FV2" s="75" t="s">
        <v>339</v>
      </c>
      <c r="FW2" s="75" t="s">
        <v>52</v>
      </c>
      <c r="FX2" s="75" t="s">
        <v>50</v>
      </c>
      <c r="FY2" s="75" t="s">
        <v>53</v>
      </c>
      <c r="FZ2" s="75" t="s">
        <v>336</v>
      </c>
      <c r="GA2" s="75" t="s">
        <v>340</v>
      </c>
      <c r="GB2" s="75" t="s">
        <v>285</v>
      </c>
      <c r="GC2" s="46"/>
      <c r="GF2" s="517"/>
      <c r="GG2" s="75" t="s">
        <v>286</v>
      </c>
      <c r="GH2" s="75" t="s">
        <v>287</v>
      </c>
      <c r="GI2" s="75" t="s">
        <v>341</v>
      </c>
      <c r="GJ2" s="75" t="s">
        <v>342</v>
      </c>
      <c r="GK2" s="75" t="s">
        <v>343</v>
      </c>
      <c r="GL2" s="75" t="s">
        <v>344</v>
      </c>
      <c r="GM2" s="75" t="s">
        <v>345</v>
      </c>
      <c r="GN2" s="75" t="s">
        <v>346</v>
      </c>
      <c r="GO2" s="75" t="s">
        <v>347</v>
      </c>
      <c r="GP2" s="75" t="s">
        <v>285</v>
      </c>
      <c r="GQ2" s="1002" t="s">
        <v>118</v>
      </c>
      <c r="GR2" s="529"/>
      <c r="GU2" s="517"/>
      <c r="GV2" s="75" t="s">
        <v>286</v>
      </c>
      <c r="GW2" s="75" t="s">
        <v>287</v>
      </c>
      <c r="GX2" s="75" t="s">
        <v>293</v>
      </c>
      <c r="GY2" s="75" t="s">
        <v>340</v>
      </c>
      <c r="GZ2" s="75" t="s">
        <v>118</v>
      </c>
      <c r="HA2" s="75" t="s">
        <v>348</v>
      </c>
      <c r="HB2" s="75" t="s">
        <v>349</v>
      </c>
      <c r="HC2" s="75" t="s">
        <v>350</v>
      </c>
      <c r="HD2" s="46"/>
      <c r="HG2" s="517"/>
      <c r="HH2" s="75" t="s">
        <v>293</v>
      </c>
      <c r="HI2" s="75" t="s">
        <v>340</v>
      </c>
      <c r="HJ2" s="75" t="s">
        <v>118</v>
      </c>
      <c r="HK2" s="75" t="s">
        <v>349</v>
      </c>
      <c r="HL2" s="75" t="s">
        <v>350</v>
      </c>
      <c r="HM2" s="46"/>
      <c r="HP2" s="517"/>
      <c r="HQ2" s="531" t="s">
        <v>286</v>
      </c>
      <c r="HR2" s="531" t="str">
        <f>FS2</f>
        <v>Container Stream</v>
      </c>
      <c r="HS2" s="989" t="s">
        <v>118</v>
      </c>
      <c r="HT2" s="531" t="s">
        <v>351</v>
      </c>
      <c r="HU2" s="989" t="s">
        <v>428</v>
      </c>
      <c r="HV2" s="531" t="s">
        <v>73</v>
      </c>
      <c r="HW2" s="531" t="s">
        <v>352</v>
      </c>
      <c r="HX2" s="531" t="s">
        <v>353</v>
      </c>
      <c r="HY2" s="46"/>
      <c r="HZ2" s="519"/>
      <c r="IB2" s="532" t="s">
        <v>354</v>
      </c>
      <c r="IC2" s="532" t="s">
        <v>355</v>
      </c>
      <c r="ID2" s="532" t="s">
        <v>356</v>
      </c>
      <c r="IE2" s="532" t="s">
        <v>357</v>
      </c>
      <c r="IF2" s="532" t="s">
        <v>358</v>
      </c>
      <c r="IG2" s="532" t="s">
        <v>283</v>
      </c>
      <c r="IH2" s="532" t="s">
        <v>359</v>
      </c>
      <c r="II2" s="989" t="s">
        <v>360</v>
      </c>
      <c r="IJ2" s="532" t="s">
        <v>361</v>
      </c>
      <c r="IK2" s="532" t="s">
        <v>362</v>
      </c>
      <c r="IL2" s="46"/>
      <c r="IM2" s="519"/>
      <c r="IN2" s="46"/>
      <c r="IO2" s="533"/>
      <c r="IP2" s="532" t="s">
        <v>286</v>
      </c>
      <c r="IQ2" s="532" t="s">
        <v>287</v>
      </c>
      <c r="IR2" s="532" t="s">
        <v>340</v>
      </c>
      <c r="IS2" s="532" t="s">
        <v>118</v>
      </c>
      <c r="IT2" s="532" t="s">
        <v>363</v>
      </c>
      <c r="IU2" s="532" t="s">
        <v>364</v>
      </c>
      <c r="IV2" s="532" t="s">
        <v>365</v>
      </c>
      <c r="IW2" s="532" t="s">
        <v>366</v>
      </c>
      <c r="IX2" s="534" t="s">
        <v>367</v>
      </c>
      <c r="IY2" s="534" t="s">
        <v>368</v>
      </c>
      <c r="IZ2" s="534" t="s">
        <v>369</v>
      </c>
      <c r="JA2" s="534" t="s">
        <v>370</v>
      </c>
      <c r="JB2" s="534" t="s">
        <v>371</v>
      </c>
      <c r="JF2" s="517"/>
      <c r="JG2" s="531" t="s">
        <v>286</v>
      </c>
      <c r="JH2" s="531" t="str">
        <f>FS2</f>
        <v>Container Stream</v>
      </c>
      <c r="JI2" s="989" t="s">
        <v>118</v>
      </c>
      <c r="JJ2" s="531" t="s">
        <v>372</v>
      </c>
      <c r="JK2" s="989" t="s">
        <v>429</v>
      </c>
      <c r="JL2" s="531" t="s">
        <v>73</v>
      </c>
      <c r="JM2" s="531" t="s">
        <v>352</v>
      </c>
      <c r="JN2" s="531" t="s">
        <v>353</v>
      </c>
      <c r="JS2" s="531" t="s">
        <v>434</v>
      </c>
      <c r="JT2" s="531" t="s">
        <v>132</v>
      </c>
      <c r="JU2" s="989" t="s">
        <v>118</v>
      </c>
      <c r="JV2" s="1008" t="s">
        <v>441</v>
      </c>
      <c r="JX2" s="1008" t="s">
        <v>440</v>
      </c>
      <c r="JY2" s="1008" t="s">
        <v>439</v>
      </c>
      <c r="JZ2" s="516"/>
      <c r="KA2" s="516"/>
      <c r="KB2" s="516"/>
      <c r="KC2" s="516"/>
      <c r="KE2" s="516"/>
      <c r="KF2" s="516"/>
    </row>
    <row r="3" spans="1:292" ht="16.5" customHeight="1" x14ac:dyDescent="0.3">
      <c r="A3" s="535" t="s">
        <v>133</v>
      </c>
      <c r="B3" s="145" t="s">
        <v>134</v>
      </c>
      <c r="C3" s="145" t="s">
        <v>135</v>
      </c>
      <c r="D3" s="145" t="s">
        <v>159</v>
      </c>
      <c r="E3" s="145" t="s">
        <v>137</v>
      </c>
      <c r="F3" s="123"/>
      <c r="G3" s="536"/>
      <c r="H3" s="123"/>
      <c r="I3" s="535" t="s">
        <v>133</v>
      </c>
      <c r="J3" s="145" t="s">
        <v>134</v>
      </c>
      <c r="K3" s="145" t="s">
        <v>135</v>
      </c>
      <c r="L3" s="145" t="s">
        <v>147</v>
      </c>
      <c r="M3" s="145" t="s">
        <v>137</v>
      </c>
      <c r="N3" s="145" t="s">
        <v>138</v>
      </c>
      <c r="O3" s="145" t="s">
        <v>139</v>
      </c>
      <c r="P3" s="145" t="s">
        <v>140</v>
      </c>
      <c r="Q3" s="143" t="s">
        <v>141</v>
      </c>
      <c r="R3" s="123"/>
      <c r="S3" s="536"/>
      <c r="T3" s="123"/>
      <c r="U3" s="535" t="s">
        <v>133</v>
      </c>
      <c r="V3" s="145" t="s">
        <v>134</v>
      </c>
      <c r="W3" s="145" t="s">
        <v>135</v>
      </c>
      <c r="X3" s="145" t="s">
        <v>147</v>
      </c>
      <c r="Y3" s="145" t="s">
        <v>137</v>
      </c>
      <c r="Z3" s="123"/>
      <c r="AA3" s="536"/>
      <c r="AB3" s="123"/>
      <c r="AC3" s="535" t="s">
        <v>133</v>
      </c>
      <c r="AD3" s="145" t="s">
        <v>134</v>
      </c>
      <c r="AE3" s="145" t="s">
        <v>135</v>
      </c>
      <c r="AF3" s="145" t="s">
        <v>147</v>
      </c>
      <c r="AG3" s="123"/>
      <c r="AH3" s="536"/>
      <c r="AI3" s="123"/>
      <c r="AJ3" s="537" t="s">
        <v>133</v>
      </c>
      <c r="AK3" s="145" t="s">
        <v>134</v>
      </c>
      <c r="AL3" s="145" t="s">
        <v>135</v>
      </c>
      <c r="AM3" s="538"/>
      <c r="AN3" s="539"/>
      <c r="AO3" s="538"/>
      <c r="AP3" s="537" t="s">
        <v>133</v>
      </c>
      <c r="AQ3" s="145" t="s">
        <v>134</v>
      </c>
      <c r="AR3" s="145" t="s">
        <v>135</v>
      </c>
      <c r="AS3" s="145" t="s">
        <v>147</v>
      </c>
      <c r="AT3" s="540" t="s">
        <v>137</v>
      </c>
      <c r="AU3" s="145" t="s">
        <v>138</v>
      </c>
      <c r="AV3" s="145" t="s">
        <v>139</v>
      </c>
      <c r="AW3" s="145" t="s">
        <v>140</v>
      </c>
      <c r="AX3" s="145" t="s">
        <v>141</v>
      </c>
      <c r="AY3" s="123" t="s">
        <v>143</v>
      </c>
      <c r="AZ3" s="123" t="s">
        <v>142</v>
      </c>
      <c r="BA3" s="123"/>
      <c r="BB3" s="536"/>
      <c r="BC3" s="143"/>
      <c r="BD3" s="535" t="s">
        <v>133</v>
      </c>
      <c r="BE3" s="145" t="s">
        <v>134</v>
      </c>
      <c r="BF3" s="145" t="s">
        <v>147</v>
      </c>
      <c r="BG3" s="145" t="s">
        <v>137</v>
      </c>
      <c r="BH3" s="123"/>
      <c r="BI3" s="536"/>
      <c r="BJ3" s="123"/>
      <c r="BK3" s="535" t="s">
        <v>133</v>
      </c>
      <c r="BL3" s="145" t="s">
        <v>134</v>
      </c>
      <c r="BM3" s="145" t="s">
        <v>135</v>
      </c>
      <c r="BN3" s="145" t="s">
        <v>159</v>
      </c>
      <c r="BO3" s="145" t="s">
        <v>137</v>
      </c>
      <c r="BP3" s="145" t="s">
        <v>138</v>
      </c>
      <c r="BQ3" s="145" t="s">
        <v>139</v>
      </c>
      <c r="BR3" s="143" t="s">
        <v>140</v>
      </c>
      <c r="BS3" s="143" t="s">
        <v>141</v>
      </c>
      <c r="BT3" s="123"/>
      <c r="BU3" s="536"/>
      <c r="BV3" s="123"/>
      <c r="BW3" s="537" t="s">
        <v>133</v>
      </c>
      <c r="BX3" s="145" t="s">
        <v>134</v>
      </c>
      <c r="BY3" s="145" t="s">
        <v>135</v>
      </c>
      <c r="BZ3" s="145" t="s">
        <v>147</v>
      </c>
      <c r="CA3" s="145" t="s">
        <v>137</v>
      </c>
      <c r="CB3" s="145" t="s">
        <v>138</v>
      </c>
      <c r="CC3" s="145" t="s">
        <v>139</v>
      </c>
      <c r="CD3" s="145" t="s">
        <v>140</v>
      </c>
      <c r="CE3" s="123"/>
      <c r="CF3" s="536"/>
      <c r="CG3" s="123"/>
      <c r="CH3" s="535" t="s">
        <v>133</v>
      </c>
      <c r="CI3" s="145" t="s">
        <v>134</v>
      </c>
      <c r="CJ3" s="145" t="s">
        <v>135</v>
      </c>
      <c r="CK3" s="145" t="s">
        <v>147</v>
      </c>
      <c r="CL3" s="145" t="s">
        <v>137</v>
      </c>
      <c r="CM3" s="145" t="s">
        <v>138</v>
      </c>
      <c r="CN3" s="145" t="s">
        <v>139</v>
      </c>
      <c r="CO3" s="145" t="s">
        <v>140</v>
      </c>
      <c r="CP3" s="145" t="s">
        <v>141</v>
      </c>
      <c r="CQ3" s="145" t="s">
        <v>142</v>
      </c>
      <c r="CR3" s="123"/>
      <c r="CS3" s="536"/>
      <c r="CT3" s="123"/>
      <c r="CU3" s="535" t="s">
        <v>133</v>
      </c>
      <c r="CV3" s="145" t="s">
        <v>134</v>
      </c>
      <c r="CW3" s="145" t="s">
        <v>135</v>
      </c>
      <c r="CX3" s="145" t="s">
        <v>159</v>
      </c>
      <c r="CY3" s="145" t="s">
        <v>137</v>
      </c>
      <c r="CZ3" s="145" t="s">
        <v>160</v>
      </c>
      <c r="DA3" s="145" t="s">
        <v>373</v>
      </c>
      <c r="DB3" s="145" t="s">
        <v>140</v>
      </c>
      <c r="DC3" s="145" t="s">
        <v>374</v>
      </c>
      <c r="DD3" s="123"/>
      <c r="DE3" s="536"/>
      <c r="DF3" s="123"/>
      <c r="DG3" s="535" t="s">
        <v>133</v>
      </c>
      <c r="DH3" s="145" t="s">
        <v>134</v>
      </c>
      <c r="DI3" s="145" t="s">
        <v>135</v>
      </c>
      <c r="DJ3" s="145" t="s">
        <v>147</v>
      </c>
      <c r="DK3" s="145" t="s">
        <v>137</v>
      </c>
      <c r="DL3" s="145" t="s">
        <v>138</v>
      </c>
      <c r="DM3" s="145" t="s">
        <v>139</v>
      </c>
      <c r="DN3" s="145" t="s">
        <v>140</v>
      </c>
      <c r="DO3" s="145" t="s">
        <v>141</v>
      </c>
      <c r="DP3" s="145" t="s">
        <v>142</v>
      </c>
      <c r="DQ3" s="145" t="s">
        <v>143</v>
      </c>
      <c r="DR3" s="145" t="s">
        <v>144</v>
      </c>
      <c r="DS3" s="123"/>
      <c r="DT3" s="536"/>
      <c r="DU3" s="123"/>
      <c r="DV3" s="535" t="s">
        <v>133</v>
      </c>
      <c r="DW3" s="145" t="s">
        <v>134</v>
      </c>
      <c r="DX3" s="145" t="s">
        <v>135</v>
      </c>
      <c r="DY3" s="145" t="s">
        <v>147</v>
      </c>
      <c r="DZ3" s="145" t="s">
        <v>137</v>
      </c>
      <c r="EA3" s="145" t="s">
        <v>160</v>
      </c>
      <c r="EB3" s="123"/>
      <c r="EC3" s="536"/>
      <c r="ED3" s="123"/>
      <c r="EE3" s="535" t="s">
        <v>133</v>
      </c>
      <c r="EF3" s="145" t="s">
        <v>134</v>
      </c>
      <c r="EG3" s="145" t="s">
        <v>135</v>
      </c>
      <c r="EH3" s="145" t="s">
        <v>147</v>
      </c>
      <c r="EI3" s="145" t="s">
        <v>137</v>
      </c>
      <c r="EJ3" s="123"/>
      <c r="EK3" s="536"/>
      <c r="EL3" s="123"/>
      <c r="EM3" s="537" t="s">
        <v>133</v>
      </c>
      <c r="EN3" s="145" t="s">
        <v>134</v>
      </c>
      <c r="EO3" s="145" t="s">
        <v>135</v>
      </c>
      <c r="EP3" s="145" t="s">
        <v>147</v>
      </c>
      <c r="EQ3" s="145" t="s">
        <v>137</v>
      </c>
      <c r="ER3" s="145" t="s">
        <v>138</v>
      </c>
      <c r="ES3" s="145" t="s">
        <v>139</v>
      </c>
      <c r="ET3" s="145" t="s">
        <v>140</v>
      </c>
      <c r="EU3" s="145" t="s">
        <v>141</v>
      </c>
      <c r="EV3" s="145" t="s">
        <v>142</v>
      </c>
      <c r="EW3" s="145" t="s">
        <v>143</v>
      </c>
      <c r="EX3" s="145" t="s">
        <v>144</v>
      </c>
      <c r="EY3" s="123"/>
      <c r="EZ3" s="536"/>
      <c r="FA3" s="123"/>
      <c r="FB3" s="535" t="s">
        <v>133</v>
      </c>
      <c r="FC3" s="145" t="s">
        <v>134</v>
      </c>
      <c r="FD3" s="145" t="s">
        <v>135</v>
      </c>
      <c r="FE3" s="123"/>
      <c r="FF3" s="536"/>
      <c r="FG3" s="123"/>
      <c r="FH3" s="535" t="s">
        <v>133</v>
      </c>
      <c r="FI3" s="145" t="s">
        <v>134</v>
      </c>
      <c r="FJ3" s="145" t="s">
        <v>135</v>
      </c>
      <c r="FK3" s="145" t="s">
        <v>147</v>
      </c>
      <c r="FL3" s="145" t="s">
        <v>137</v>
      </c>
      <c r="FM3" s="145" t="s">
        <v>160</v>
      </c>
      <c r="FN3" s="123"/>
      <c r="FO3" s="541"/>
      <c r="FP3" s="60"/>
      <c r="FQ3" s="535" t="s">
        <v>133</v>
      </c>
      <c r="FR3" s="145" t="s">
        <v>134</v>
      </c>
      <c r="FS3" s="145" t="s">
        <v>135</v>
      </c>
      <c r="FT3" s="145" t="s">
        <v>147</v>
      </c>
      <c r="FU3" s="540" t="s">
        <v>137</v>
      </c>
      <c r="FV3" s="145" t="s">
        <v>138</v>
      </c>
      <c r="FW3" s="145" t="s">
        <v>139</v>
      </c>
      <c r="FX3" s="143" t="s">
        <v>140</v>
      </c>
      <c r="FY3" s="143" t="s">
        <v>141</v>
      </c>
      <c r="FZ3" s="143" t="s">
        <v>142</v>
      </c>
      <c r="GA3" s="542" t="s">
        <v>143</v>
      </c>
      <c r="GB3" s="145" t="s">
        <v>144</v>
      </c>
      <c r="GC3" s="538"/>
      <c r="GD3" s="541"/>
      <c r="GE3" s="60"/>
      <c r="GF3" s="535" t="s">
        <v>133</v>
      </c>
      <c r="GG3" s="145" t="s">
        <v>134</v>
      </c>
      <c r="GH3" s="145" t="s">
        <v>135</v>
      </c>
      <c r="GI3" s="145" t="s">
        <v>147</v>
      </c>
      <c r="GJ3" s="145" t="s">
        <v>137</v>
      </c>
      <c r="GK3" s="540" t="s">
        <v>138</v>
      </c>
      <c r="GL3" s="145" t="s">
        <v>139</v>
      </c>
      <c r="GM3" s="145" t="s">
        <v>140</v>
      </c>
      <c r="GN3" s="143" t="s">
        <v>141</v>
      </c>
      <c r="GO3" s="143" t="s">
        <v>142</v>
      </c>
      <c r="GP3" s="143" t="s">
        <v>143</v>
      </c>
      <c r="GQ3" s="145" t="s">
        <v>144</v>
      </c>
      <c r="GU3" s="535" t="s">
        <v>133</v>
      </c>
      <c r="GV3" s="145" t="s">
        <v>134</v>
      </c>
      <c r="GW3" s="145" t="s">
        <v>135</v>
      </c>
      <c r="GX3" s="145" t="s">
        <v>147</v>
      </c>
      <c r="GY3" s="542" t="s">
        <v>137</v>
      </c>
      <c r="GZ3" s="145" t="s">
        <v>138</v>
      </c>
      <c r="HA3" s="145" t="s">
        <v>139</v>
      </c>
      <c r="HB3" s="145" t="s">
        <v>140</v>
      </c>
      <c r="HC3" s="145" t="s">
        <v>141</v>
      </c>
      <c r="HD3" s="538"/>
      <c r="HG3" s="535" t="s">
        <v>133</v>
      </c>
      <c r="HH3" s="145" t="s">
        <v>134</v>
      </c>
      <c r="HI3" s="145" t="s">
        <v>135</v>
      </c>
      <c r="HJ3" s="145" t="s">
        <v>147</v>
      </c>
      <c r="HK3" s="542" t="s">
        <v>137</v>
      </c>
      <c r="HL3" s="145" t="s">
        <v>138</v>
      </c>
      <c r="HM3" s="538"/>
      <c r="HP3" s="535" t="s">
        <v>133</v>
      </c>
      <c r="HQ3" s="145" t="s">
        <v>134</v>
      </c>
      <c r="HR3" s="145" t="s">
        <v>135</v>
      </c>
      <c r="HS3" s="145" t="s">
        <v>147</v>
      </c>
      <c r="HT3" s="145" t="s">
        <v>137</v>
      </c>
      <c r="HU3" s="145" t="s">
        <v>138</v>
      </c>
      <c r="HV3" s="540" t="s">
        <v>139</v>
      </c>
      <c r="HW3" s="540" t="s">
        <v>140</v>
      </c>
      <c r="HX3" s="540" t="s">
        <v>141</v>
      </c>
      <c r="HY3" s="123"/>
      <c r="HZ3" s="536"/>
      <c r="IB3" s="145" t="s">
        <v>134</v>
      </c>
      <c r="IC3" s="145" t="s">
        <v>135</v>
      </c>
      <c r="ID3" s="145" t="s">
        <v>147</v>
      </c>
      <c r="IE3" s="145" t="s">
        <v>137</v>
      </c>
      <c r="IF3" s="145" t="s">
        <v>138</v>
      </c>
      <c r="IG3" s="145" t="s">
        <v>139</v>
      </c>
      <c r="IH3" s="145" t="s">
        <v>140</v>
      </c>
      <c r="II3" s="145" t="s">
        <v>141</v>
      </c>
      <c r="IJ3" s="145" t="s">
        <v>142</v>
      </c>
      <c r="IK3" s="145" t="s">
        <v>143</v>
      </c>
      <c r="IL3" s="123"/>
      <c r="IM3" s="536"/>
      <c r="IN3" s="123"/>
      <c r="IO3" s="535" t="s">
        <v>133</v>
      </c>
      <c r="IP3" s="145" t="s">
        <v>134</v>
      </c>
      <c r="IQ3" s="145" t="s">
        <v>135</v>
      </c>
      <c r="IR3" s="145" t="s">
        <v>147</v>
      </c>
      <c r="IS3" s="145" t="s">
        <v>137</v>
      </c>
      <c r="IT3" s="145" t="s">
        <v>138</v>
      </c>
      <c r="IU3" s="145" t="s">
        <v>139</v>
      </c>
      <c r="IV3" s="143" t="s">
        <v>140</v>
      </c>
      <c r="IW3" s="143" t="s">
        <v>141</v>
      </c>
      <c r="IX3" s="143" t="s">
        <v>142</v>
      </c>
      <c r="IY3" s="143" t="s">
        <v>143</v>
      </c>
      <c r="IZ3" s="143" t="s">
        <v>144</v>
      </c>
      <c r="JA3" s="143" t="s">
        <v>145</v>
      </c>
      <c r="JB3" s="143" t="s">
        <v>146</v>
      </c>
      <c r="JF3" s="535" t="s">
        <v>133</v>
      </c>
      <c r="JG3" s="145" t="s">
        <v>134</v>
      </c>
      <c r="JH3" s="145" t="s">
        <v>135</v>
      </c>
      <c r="JI3" s="145" t="s">
        <v>147</v>
      </c>
      <c r="JJ3" s="145" t="s">
        <v>137</v>
      </c>
      <c r="JK3" s="145" t="s">
        <v>138</v>
      </c>
      <c r="JL3" s="540" t="s">
        <v>139</v>
      </c>
      <c r="JM3" s="540" t="s">
        <v>140</v>
      </c>
      <c r="JN3" s="540" t="s">
        <v>141</v>
      </c>
      <c r="JS3" s="145" t="s">
        <v>137</v>
      </c>
      <c r="JT3" s="145"/>
      <c r="JU3" s="145"/>
      <c r="JV3" s="145"/>
      <c r="JZ3" s="516"/>
      <c r="KA3" s="1013" t="s">
        <v>448</v>
      </c>
      <c r="KB3" s="516"/>
      <c r="KC3" s="516"/>
      <c r="KE3" s="516"/>
      <c r="KF3" s="516"/>
    </row>
    <row r="4" spans="1:292" ht="17.25" thickBot="1" x14ac:dyDescent="0.35">
      <c r="A4" s="543">
        <v>1</v>
      </c>
      <c r="B4" s="645" t="s">
        <v>46</v>
      </c>
      <c r="C4" s="646">
        <f>'DCA 3 month Phase I'!MC14</f>
        <v>40115900.113998935</v>
      </c>
      <c r="D4" s="647">
        <f>C4/$C$13</f>
        <v>0.30930669667240285</v>
      </c>
      <c r="E4" s="986">
        <v>1.8263026622357388</v>
      </c>
      <c r="I4" s="543">
        <v>1</v>
      </c>
      <c r="J4" s="654">
        <f>FR4</f>
        <v>1</v>
      </c>
      <c r="K4" s="655" t="s">
        <v>380</v>
      </c>
      <c r="L4" s="991">
        <v>1110103150.236172</v>
      </c>
      <c r="M4" s="657">
        <f>L4/$L$28</f>
        <v>0.50538173962725574</v>
      </c>
      <c r="N4" s="656">
        <v>2193</v>
      </c>
      <c r="O4" s="656">
        <f>IFERROR(L4/N4,0)</f>
        <v>506202.98688379937</v>
      </c>
      <c r="P4" s="657">
        <f>O4/$O$28</f>
        <v>0.28369350935511262</v>
      </c>
      <c r="Q4" s="658" t="s">
        <v>379</v>
      </c>
      <c r="U4" s="545">
        <v>1</v>
      </c>
      <c r="V4" s="669">
        <f>FR4</f>
        <v>1</v>
      </c>
      <c r="W4" s="655" t="s">
        <v>380</v>
      </c>
      <c r="X4" s="646">
        <f>SUM(FT4:FX4)</f>
        <v>33387406.563673124</v>
      </c>
      <c r="Y4" s="657">
        <f>SUM(FT4:FX4)/SUM($FT$28:$FX$28)</f>
        <v>0.34502203194488451</v>
      </c>
      <c r="AC4" s="545">
        <v>1</v>
      </c>
      <c r="AD4" s="678">
        <v>1</v>
      </c>
      <c r="AE4" s="679" t="s">
        <v>380</v>
      </c>
      <c r="AF4" s="680">
        <v>1.94</v>
      </c>
      <c r="AJ4" s="545">
        <v>1</v>
      </c>
      <c r="AK4" s="687" t="s">
        <v>376</v>
      </c>
      <c r="AL4" s="689">
        <f>C4+C5</f>
        <v>42112067.564003348</v>
      </c>
      <c r="AM4" s="546"/>
      <c r="AN4" s="547"/>
      <c r="AO4" s="546"/>
      <c r="AP4" s="545">
        <v>1</v>
      </c>
      <c r="AQ4" s="693">
        <f>FR4</f>
        <v>1</v>
      </c>
      <c r="AR4" s="655" t="s">
        <v>380</v>
      </c>
      <c r="AS4" s="655">
        <f>VLOOKUP(AQ4,$AD$4:$AF$27,$AS$30,FALSE)</f>
        <v>1.94</v>
      </c>
      <c r="AT4" s="694">
        <f>L4</f>
        <v>1110103150.236172</v>
      </c>
      <c r="AU4" s="694">
        <f>AT4*AS4/3600</f>
        <v>598222.2531828261</v>
      </c>
      <c r="AV4" s="695">
        <f>AU4*$AL$5/$AU$28</f>
        <v>617560.86462239083</v>
      </c>
      <c r="AW4" s="696">
        <f>$AL$6</f>
        <v>21.592508896755888</v>
      </c>
      <c r="AX4" s="646">
        <f>AV4*AW4</f>
        <v>13334688.463647231</v>
      </c>
      <c r="AY4" s="544">
        <f>AX4/$AX$28</f>
        <v>0.31664767927579718</v>
      </c>
      <c r="AZ4" s="548">
        <f>IF($AT4=0,0,ROUND(IF(VLOOKUP(AQ4,$AQ$4:$AT$27,$AZ$30,FALSE)&lt;&gt;0,AX4/VLOOKUP(AQ4,$AQ$4:$AT$27,$AZ$30,FALSE)*100,""),6))</f>
        <v>1.2012119999999999</v>
      </c>
      <c r="BD4" s="543">
        <v>1</v>
      </c>
      <c r="BE4" s="655" t="str">
        <f>AY2</f>
        <v>Direct and Collector Labour Allocator</v>
      </c>
      <c r="BF4" s="657">
        <v>0.5</v>
      </c>
      <c r="BG4" s="646">
        <f>BF4*$BG$6</f>
        <v>9586712.8881295025</v>
      </c>
      <c r="BK4" s="543">
        <v>1</v>
      </c>
      <c r="BL4" s="658">
        <f>FR4</f>
        <v>1</v>
      </c>
      <c r="BM4" s="655" t="s">
        <v>380</v>
      </c>
      <c r="BN4" s="657">
        <f>VLOOKUP(BL4,$AQ$4:$AY$28,$BN$33,FALSE)</f>
        <v>0.31664767927579718</v>
      </c>
      <c r="BO4" s="646">
        <f>BN4*$BO$28</f>
        <v>3035610.3879095819</v>
      </c>
      <c r="BP4" s="657">
        <f>VLOOKUP(BL4,$J$4:$M$27,$BP$33,FALSE)</f>
        <v>0.50538173962725574</v>
      </c>
      <c r="BQ4" s="646">
        <f>BP4*$BQ$28</f>
        <v>4844949.6367099211</v>
      </c>
      <c r="BR4" s="708">
        <f>BQ4+BO4</f>
        <v>7880560.0246195029</v>
      </c>
      <c r="BS4" s="709">
        <f>IF($AT4=0,0,ROUND(IF(VLOOKUP(BL4,$AQ$4:$AT$27,$AZ$30,FALSE)&lt;&gt;0,BR4/VLOOKUP(BL4,$AQ$4:$AT$27,$AZ$30,FALSE)*100,""),6))</f>
        <v>0.70989400000000002</v>
      </c>
      <c r="BW4" s="543">
        <v>1</v>
      </c>
      <c r="BX4" s="655" t="s">
        <v>377</v>
      </c>
      <c r="BY4" s="647">
        <v>7.564777291050645E-2</v>
      </c>
      <c r="BZ4" s="715">
        <f>BY4*$BZ$9</f>
        <v>1896770.8291299783</v>
      </c>
      <c r="CA4" s="648">
        <v>1</v>
      </c>
      <c r="CB4" s="648"/>
      <c r="CC4" s="715">
        <f>CA4*$BZ4</f>
        <v>1896770.8291299783</v>
      </c>
      <c r="CD4" s="715">
        <f>CB4*$BZ4</f>
        <v>0</v>
      </c>
      <c r="CH4" s="543">
        <v>1</v>
      </c>
      <c r="CI4" s="678">
        <f>FR4</f>
        <v>1</v>
      </c>
      <c r="CJ4" s="655" t="s">
        <v>380</v>
      </c>
      <c r="CK4" s="657">
        <f>VLOOKUP(CI4,$J$4:$M$27,$CK$32,FALSE)</f>
        <v>0.50538173962725574</v>
      </c>
      <c r="CL4" s="646">
        <f>CK4*$CL$28</f>
        <v>2962415.7403019243</v>
      </c>
      <c r="CM4" s="657">
        <f>VLOOKUP(CI4,$J$4:$P$27,$CM$32,FALSE)</f>
        <v>0.28369350935511262</v>
      </c>
      <c r="CN4" s="646">
        <f>CM4*$CN$28</f>
        <v>5450313.4468598058</v>
      </c>
      <c r="CO4" s="646">
        <f>CN4+CL4</f>
        <v>8412729.1871617306</v>
      </c>
      <c r="CP4" s="657">
        <f>CO4/$CO$28</f>
        <v>0.33551983051105305</v>
      </c>
      <c r="CQ4" s="709">
        <f>IF($AT4=0,0,ROUND(IF(VLOOKUP(CI4,$AQ$4:$AT$27,$AZ$30,FALSE)&lt;&gt;0,CO4/VLOOKUP(CI4,$AQ$4:$AT$27,$AZ$30,FALSE)*100,""),6))</f>
        <v>0.75783299999999998</v>
      </c>
      <c r="CU4" s="543">
        <v>1</v>
      </c>
      <c r="CV4" s="731" t="s">
        <v>375</v>
      </c>
      <c r="CW4" s="657">
        <v>0</v>
      </c>
      <c r="CX4" s="657">
        <v>0.5</v>
      </c>
      <c r="CY4" s="732">
        <v>0.5</v>
      </c>
      <c r="CZ4" s="646">
        <f>CW4*$DC4</f>
        <v>0</v>
      </c>
      <c r="DA4" s="646">
        <f>CX4*$DC4</f>
        <v>2448135.5093462113</v>
      </c>
      <c r="DB4" s="646">
        <f>CY4*$DC4</f>
        <v>2448135.5093462113</v>
      </c>
      <c r="DC4" s="646">
        <v>4896271.0186924227</v>
      </c>
      <c r="DG4" s="545">
        <v>1</v>
      </c>
      <c r="DH4" s="739">
        <f>FR4</f>
        <v>1</v>
      </c>
      <c r="DI4" s="655" t="s">
        <v>380</v>
      </c>
      <c r="DJ4" s="657">
        <f>VLOOKUP(DH4,$CI$4:$CP$27,$DJ$33,FALSE)</f>
        <v>0.33551983051105305</v>
      </c>
      <c r="DK4" s="646">
        <f>DJ4*$DK$28</f>
        <v>126388.55349951278</v>
      </c>
      <c r="DL4" s="657">
        <f>VLOOKUP(DH4,$J$4:$Q$27,$DL$33,FALSE)</f>
        <v>0.28369350935511262</v>
      </c>
      <c r="DM4" s="646">
        <f>DL4*$DM$28</f>
        <v>694520.15402329282</v>
      </c>
      <c r="DN4" s="657">
        <f>VLOOKUP(DH4,$J$4:$Q$27,$DN$33,FALSE)</f>
        <v>0.50538173962725574</v>
      </c>
      <c r="DO4" s="646">
        <f>DN4*$DO$28</f>
        <v>1793531.0688750253</v>
      </c>
      <c r="DP4" s="646">
        <f>DK4+DM4+DO4</f>
        <v>2614439.7763978308</v>
      </c>
      <c r="DQ4" s="657">
        <f>DP4/$DP$28</f>
        <v>0.41019221675518214</v>
      </c>
      <c r="DR4" s="709">
        <f>IF($AT4=0,0,ROUND(IF(VLOOKUP(DH4,$AQ$4:$AT$27,$AZ$30,FALSE)&lt;&gt;0,DP4/VLOOKUP(DH4,$AQ$4:$AT$27,$AZ$30,FALSE)*100,""),6))</f>
        <v>0.235513</v>
      </c>
      <c r="DV4" s="545">
        <v>1</v>
      </c>
      <c r="DW4" s="739">
        <f>GG4</f>
        <v>1</v>
      </c>
      <c r="DX4" s="655" t="s">
        <v>380</v>
      </c>
      <c r="DY4" s="657">
        <f>VLOOKUP(DW4,$J$4:$Q$27,$DY$33,FALSE)</f>
        <v>0.28369350935511262</v>
      </c>
      <c r="DZ4" s="646">
        <f>DY4*$DZ$28</f>
        <v>1144989.1118468274</v>
      </c>
      <c r="EA4" s="709">
        <f>IF($AT4=0,0,ROUND(IF(VLOOKUP(DW4,$AQ$4:$AT$27,$AZ$30,FALSE)&lt;&gt;0,DZ4/VLOOKUP(DW4,$AQ$4:$AT$27,$AZ$30,FALSE)*100,""),6))</f>
        <v>0.103143</v>
      </c>
      <c r="EE4" s="543">
        <v>1</v>
      </c>
      <c r="EF4" s="655" t="s">
        <v>378</v>
      </c>
      <c r="EG4" s="646">
        <v>7182993.5611227266</v>
      </c>
      <c r="EH4" s="647">
        <f>EG4/$EG$7</f>
        <v>0.59682952418247304</v>
      </c>
      <c r="EI4" s="646">
        <f>EH4*$EI$7</f>
        <v>7868767.537861947</v>
      </c>
      <c r="EM4" s="545">
        <v>1</v>
      </c>
      <c r="EN4" s="739">
        <f>FR4</f>
        <v>1</v>
      </c>
      <c r="EO4" s="655" t="s">
        <v>380</v>
      </c>
      <c r="EP4" s="657">
        <f>VLOOKUP(EN4,$V$4:$Y$27,$EP$33,FALSE)</f>
        <v>0.34502203194488451</v>
      </c>
      <c r="EQ4" s="646">
        <f>EP4*$EQ$28</f>
        <v>2714898.1648150748</v>
      </c>
      <c r="ER4" s="657">
        <f>VLOOKUP(EN4,$CI$4:$CP$27,$ER$33,FALSE)</f>
        <v>0.33551983051105305</v>
      </c>
      <c r="ES4" s="646">
        <f>ER4*$ES$28</f>
        <v>340796.24343994138</v>
      </c>
      <c r="ET4" s="657">
        <f>VLOOKUP(EN4,$J$4:$M$27,$ET$33,FALSE)</f>
        <v>0.50538173962725574</v>
      </c>
      <c r="EU4" s="646">
        <f>ET4*$EU$28</f>
        <v>2173033.5019996008</v>
      </c>
      <c r="EV4" s="646">
        <f>EQ4+ES4+EU4</f>
        <v>5228727.9102546163</v>
      </c>
      <c r="EW4" s="657">
        <f>EV4/$EV$28</f>
        <v>0.39658805216208048</v>
      </c>
      <c r="EX4" s="709">
        <f>IF($AT4=0,0,ROUND(IF(VLOOKUP(EN4,$AQ$4:$AT$27,$AZ$30,FALSE)&lt;&gt;0,EV4/VLOOKUP(EN4,$AQ$4:$AT$27,$AZ$30,FALSE)*100,""),6))</f>
        <v>0.47101300000000001</v>
      </c>
      <c r="FB4" s="543">
        <v>1</v>
      </c>
      <c r="FC4" s="645" t="s">
        <v>232</v>
      </c>
      <c r="FD4" s="646">
        <f>C11</f>
        <v>20074431.714334965</v>
      </c>
      <c r="FH4" s="545">
        <v>1</v>
      </c>
      <c r="FI4" s="669">
        <f>FR4</f>
        <v>1</v>
      </c>
      <c r="FJ4" s="655" t="s">
        <v>380</v>
      </c>
      <c r="FK4" s="657">
        <f>Y4</f>
        <v>0.34502203194488451</v>
      </c>
      <c r="FL4" s="646">
        <f>Y4*$FL$28</f>
        <v>6810323.2176353401</v>
      </c>
      <c r="FM4" s="709">
        <f>IF($AT4=0,0,ROUND(IF(VLOOKUP(FI4,$AQ$4:$AT$27,$AZ$30,FALSE)&lt;&gt;0,FL4/VLOOKUP(FI4,$AQ$4:$AT$27,$AZ$30,FALSE)*100,""),6))</f>
        <v>0.61348599999999998</v>
      </c>
      <c r="FQ4" s="543">
        <v>1</v>
      </c>
      <c r="FR4" s="669">
        <v>1</v>
      </c>
      <c r="FS4" s="655" t="s">
        <v>380</v>
      </c>
      <c r="FT4" s="646">
        <f>VLOOKUP(FR4,$AQ$4:$AZ$27,$FT$33,FALSE)</f>
        <v>13334688.463647231</v>
      </c>
      <c r="FU4" s="646">
        <f>VLOOKUP(FR4,$BL$4:$BS$86,$FU$33,FALSE)</f>
        <v>7880560.0246195029</v>
      </c>
      <c r="FV4" s="646">
        <f>VLOOKUP(FR4,$CI$4:$CQ$27,$FV$33,FALSE)</f>
        <v>8412729.1871617306</v>
      </c>
      <c r="FW4" s="646">
        <f>VLOOKUP(FR4,$DH$4:$DP$27,$FW$33,FALSE)</f>
        <v>2614439.7763978308</v>
      </c>
      <c r="FX4" s="646">
        <f>VLOOKUP(FR4,$DW$4:$EA$27,$FX$33,FALSE)</f>
        <v>1144989.1118468274</v>
      </c>
      <c r="FY4" s="646">
        <f>VLOOKUP(FR4,$EN$4:$EV$28,$FY$34,FALSE)</f>
        <v>5228727.9102546163</v>
      </c>
      <c r="FZ4" s="646">
        <f>VLOOKUP(FR4,$FI$4:$FL$27,$FZ$33,FALSE)</f>
        <v>6810323.2176353401</v>
      </c>
      <c r="GA4" s="646">
        <f>SUM(FT4:FZ4)</f>
        <v>45426457.691563077</v>
      </c>
      <c r="GB4" s="746">
        <f>IF($AT4=0,0,ROUND(IF(VLOOKUP(FR4,$AQ$4:$AT$27,$AZ$30,FALSE)&lt;&gt;0,GA4/VLOOKUP(FR4,$AQ$4:$AT$27,$AZ$30,FALSE)*100,""),6))</f>
        <v>4.0920930000000002</v>
      </c>
      <c r="GF4" s="545">
        <v>1</v>
      </c>
      <c r="GG4" s="669">
        <f>FR4</f>
        <v>1</v>
      </c>
      <c r="GH4" s="655" t="s">
        <v>380</v>
      </c>
      <c r="GI4" s="709">
        <f>VLOOKUP(GG4,$AQ$4:$AZ$27,$GI$31,FALSE)</f>
        <v>1.2012119999999999</v>
      </c>
      <c r="GJ4" s="709">
        <f>VLOOKUP(GG4,$BL$4:$BS$27,$GJ$31,FALSE)</f>
        <v>0.70989400000000002</v>
      </c>
      <c r="GK4" s="709">
        <f>VLOOKUP(GG4,$CI$4:$CQ$27,$GK$31,FALSE)</f>
        <v>0.75783299999999998</v>
      </c>
      <c r="GL4" s="709">
        <f>VLOOKUP(GG4,$DH$4:$DR$27,$GL$31,FALSE)</f>
        <v>0.235513</v>
      </c>
      <c r="GM4" s="709">
        <f>VLOOKUP(GG4,$DW$4:$EA$27,$GM$31,FALSE)</f>
        <v>0.103143</v>
      </c>
      <c r="GN4" s="709">
        <f>VLOOKUP(GG4,$EN$4:$EX$28,$GN$31,FALSE)</f>
        <v>0.47101300000000001</v>
      </c>
      <c r="GO4" s="709">
        <f>VLOOKUP(GG4,$FI$4:$FM$27,$GO$31,FALSE)</f>
        <v>0.61348599999999998</v>
      </c>
      <c r="GP4" s="709">
        <f>VLOOKUP(GG4,$FR$4:$GB$27,$GP$31,FALSE)</f>
        <v>4.0920930000000002</v>
      </c>
      <c r="GQ4" s="656">
        <f>L4</f>
        <v>1110103150.236172</v>
      </c>
      <c r="GR4" s="530"/>
      <c r="GU4" s="543">
        <v>1</v>
      </c>
      <c r="GV4" s="669">
        <f>FR4</f>
        <v>1</v>
      </c>
      <c r="GW4" s="655" t="s">
        <v>380</v>
      </c>
      <c r="GX4" s="658" t="s">
        <v>379</v>
      </c>
      <c r="GY4" s="646">
        <f>GA4</f>
        <v>45426457.691563077</v>
      </c>
      <c r="GZ4" s="656">
        <f>VLOOKUP(GV4,$GG$4:$GQ$27,$GZ$34,FALSE)</f>
        <v>1110103150.236172</v>
      </c>
      <c r="HA4" s="709">
        <f>IF(GW4="Specialty Containers",$HA$31,ROUND(IF(GZ4&lt;&gt;0,GY4/GZ4*100,0),6))</f>
        <v>4.0920930000000002</v>
      </c>
      <c r="HB4" s="646">
        <f>ROUND(HA4,10)*GZ4/100</f>
        <v>45426453.303593874</v>
      </c>
      <c r="HC4" s="749">
        <f>HB4-GY4</f>
        <v>-4.3879692032933235</v>
      </c>
      <c r="HD4" s="549"/>
      <c r="HG4" s="543">
        <v>1</v>
      </c>
      <c r="HH4" s="655" t="s">
        <v>379</v>
      </c>
      <c r="HI4" s="752">
        <f>SUMIF($GX$4:$GX$27,$HH4,GY$4:GY$27)</f>
        <v>127409778.50203025</v>
      </c>
      <c r="HJ4" s="753">
        <f>HI4/HI$6</f>
        <v>0.98240276956282413</v>
      </c>
      <c r="HK4" s="752">
        <f>SUMIF($GX$4:$GX$27,$HH4,HB$4:HB$27)</f>
        <v>127409773.722432</v>
      </c>
      <c r="HL4" s="749">
        <f>SUMIF($GX$4:$GX$27,$HH4,HC$4:HC$27)</f>
        <v>-4.7795982332911535</v>
      </c>
      <c r="HM4" s="549"/>
      <c r="HP4" s="545">
        <v>1</v>
      </c>
      <c r="HQ4" s="761">
        <f>FR4</f>
        <v>1</v>
      </c>
      <c r="HR4" s="655" t="s">
        <v>380</v>
      </c>
      <c r="HS4" s="656">
        <f>L4</f>
        <v>1110103150.236172</v>
      </c>
      <c r="HT4" s="756">
        <f>HA4</f>
        <v>4.0920930000000002</v>
      </c>
      <c r="HU4" s="756">
        <v>3.5634269999999999</v>
      </c>
      <c r="HV4" s="647">
        <f>IF(HU4&lt;&gt;0,HT4/HU4-1,"")</f>
        <v>0.1483588691447868</v>
      </c>
      <c r="HW4" s="756">
        <f>HT4-HU4</f>
        <v>0.5286660000000003</v>
      </c>
      <c r="HX4" s="648">
        <v>10</v>
      </c>
      <c r="IB4" s="764">
        <f>'DCA 3 month Phase I'!HE26</f>
        <v>2194071252</v>
      </c>
      <c r="IC4" s="764">
        <f>'DCA 3 month Phase I'!JI26</f>
        <v>2196563633.3733158</v>
      </c>
      <c r="ID4" s="765">
        <f>(IC4-IB4)/IB4</f>
        <v>1.1359619114665886E-3</v>
      </c>
      <c r="IE4" s="764">
        <v>1500000</v>
      </c>
      <c r="IF4" s="766">
        <f>HT28</f>
        <v>5.9043130656117411</v>
      </c>
      <c r="IG4" s="767">
        <f>IF4*IC4/100</f>
        <v>129691993.59973668</v>
      </c>
      <c r="IH4" s="768">
        <v>1.4999999999999999E-2</v>
      </c>
      <c r="II4" s="990">
        <v>316639920</v>
      </c>
      <c r="IJ4" s="765">
        <f>II4/IC4</f>
        <v>0.14415240022604237</v>
      </c>
      <c r="IK4" s="765">
        <f>SUM(HS8,HS15,HS17,HS23:HS24,HS27)/HS28</f>
        <v>1.3808978283689551E-2</v>
      </c>
      <c r="IO4" s="545">
        <v>1</v>
      </c>
      <c r="IP4" s="761">
        <v>1</v>
      </c>
      <c r="IQ4" s="655" t="s">
        <v>380</v>
      </c>
      <c r="IR4" s="769">
        <f>GY4</f>
        <v>45426457.691563077</v>
      </c>
      <c r="IS4" s="770">
        <f>GZ4</f>
        <v>1110103150.236172</v>
      </c>
      <c r="IT4" s="771">
        <f>HA4</f>
        <v>4.0920930000000002</v>
      </c>
      <c r="IU4" s="656">
        <f>IS4*$IJ$4/(1-$IK$4)</f>
        <v>162264743.93017533</v>
      </c>
      <c r="IV4" s="656">
        <f>IS4-IU4</f>
        <v>947838406.30599666</v>
      </c>
      <c r="IW4" s="769">
        <f>IU4*$IH$4</f>
        <v>2433971.1589526301</v>
      </c>
      <c r="IX4" s="769">
        <f>IR4-IW4</f>
        <v>42992486.532610446</v>
      </c>
      <c r="IY4" s="550">
        <f>IX4/IS4*100</f>
        <v>3.8728370893699284</v>
      </c>
      <c r="IZ4" s="550">
        <f>IY4+1.5</f>
        <v>5.3728370893699289</v>
      </c>
      <c r="JA4" s="769">
        <f>(IY4*IV4+IZ4*IU4)/100</f>
        <v>45426457.691563085</v>
      </c>
      <c r="JB4" s="746">
        <f>IT4-IY4</f>
        <v>0.21925591063007177</v>
      </c>
      <c r="JF4" s="545">
        <v>1</v>
      </c>
      <c r="JG4" s="761">
        <f>FR4</f>
        <v>1</v>
      </c>
      <c r="JH4" s="655" t="s">
        <v>380</v>
      </c>
      <c r="JI4" s="656">
        <f>L4</f>
        <v>1110103150.236172</v>
      </c>
      <c r="JJ4" s="756">
        <f>IY4</f>
        <v>3.8728370893699284</v>
      </c>
      <c r="JK4" s="756">
        <v>3.3411942282427152</v>
      </c>
      <c r="JL4" s="647">
        <f>IF(JK4&lt;&gt;0,JJ4/JK4-1,"")</f>
        <v>0.15911761628022103</v>
      </c>
      <c r="JM4" s="756">
        <f>JJ4-JK4</f>
        <v>0.53164286112721326</v>
      </c>
      <c r="JN4" s="648">
        <v>10</v>
      </c>
      <c r="JS4" s="756">
        <v>3.8846481496862171</v>
      </c>
      <c r="JT4" s="756">
        <f>JJ4-JS4</f>
        <v>-1.1811060316288646E-2</v>
      </c>
      <c r="JU4" s="1009">
        <v>1105379295</v>
      </c>
      <c r="JV4" s="1009">
        <f>JU4-JI4</f>
        <v>-4723855.2361719608</v>
      </c>
      <c r="JW4" s="1069">
        <f>JT4/JS4</f>
        <v>-3.0404453276528238E-3</v>
      </c>
      <c r="JX4" s="997">
        <v>42940096.330232054</v>
      </c>
      <c r="JY4" s="997">
        <f>JI4*JJ4/100</f>
        <v>42992486.532610446</v>
      </c>
      <c r="JZ4" s="516"/>
      <c r="KA4" s="516" t="s">
        <v>442</v>
      </c>
      <c r="KB4" s="997">
        <f>SUMPRODUCT(JV4:JV27,JS4:JS27)/100</f>
        <v>-861387.71707696607</v>
      </c>
      <c r="KC4" s="516"/>
      <c r="KE4" s="516"/>
      <c r="KF4" s="516"/>
    </row>
    <row r="5" spans="1:292" ht="16.5" x14ac:dyDescent="0.3">
      <c r="A5" s="222">
        <v>2</v>
      </c>
      <c r="B5" s="649" t="s">
        <v>57</v>
      </c>
      <c r="C5" s="650">
        <f>'DCA 3 month Phase I'!MC15</f>
        <v>1996167.4500044165</v>
      </c>
      <c r="D5" s="651">
        <f>C5/$C$13</f>
        <v>1.5391103233662226E-2</v>
      </c>
      <c r="E5" s="986">
        <v>9.0876832324627621E-2</v>
      </c>
      <c r="I5" s="222">
        <f>+I4+1</f>
        <v>2</v>
      </c>
      <c r="J5" s="659">
        <f>FR5</f>
        <v>2</v>
      </c>
      <c r="K5" s="660" t="s">
        <v>385</v>
      </c>
      <c r="L5" s="991">
        <v>949732.2665204457</v>
      </c>
      <c r="M5" s="662">
        <f>L5/$L$28</f>
        <v>4.3237184304190584E-4</v>
      </c>
      <c r="N5" s="661">
        <v>114</v>
      </c>
      <c r="O5" s="661">
        <f>IFERROR(L5/N5,0)</f>
        <v>8330.9847940389973</v>
      </c>
      <c r="P5" s="662">
        <f>O5/$O$28</f>
        <v>4.6689695119233668E-3</v>
      </c>
      <c r="Q5" s="663" t="s">
        <v>379</v>
      </c>
      <c r="U5" s="551">
        <f>+U4+1</f>
        <v>2</v>
      </c>
      <c r="V5" s="670">
        <f>FR5</f>
        <v>2</v>
      </c>
      <c r="W5" s="660" t="s">
        <v>385</v>
      </c>
      <c r="X5" s="671">
        <f>SUM(FT5:FX5)</f>
        <v>334240.0407596911</v>
      </c>
      <c r="Y5" s="662">
        <f>SUM(FT5:FX5)/SUM($FT$28:$FX$28)</f>
        <v>3.4540022687992414E-3</v>
      </c>
      <c r="AC5" s="551">
        <f>+AC4+1</f>
        <v>2</v>
      </c>
      <c r="AD5" s="681">
        <v>2</v>
      </c>
      <c r="AE5" s="682" t="s">
        <v>385</v>
      </c>
      <c r="AF5" s="683">
        <v>28.35</v>
      </c>
      <c r="AJ5" s="551">
        <f>+AJ4+1</f>
        <v>2</v>
      </c>
      <c r="AK5" s="688" t="s">
        <v>381</v>
      </c>
      <c r="AL5" s="690">
        <f>'DCA 3 month Phase I'!AH19+'DCA 3 month Phase I'!AI19</f>
        <v>1950309.1449613976</v>
      </c>
      <c r="AM5" s="546"/>
      <c r="AN5" s="547"/>
      <c r="AO5" s="546"/>
      <c r="AP5" s="551">
        <f>+AP4+1</f>
        <v>2</v>
      </c>
      <c r="AQ5" s="697">
        <f>FR5</f>
        <v>2</v>
      </c>
      <c r="AR5" s="660" t="s">
        <v>385</v>
      </c>
      <c r="AS5" s="660">
        <f>VLOOKUP(AQ5,$AD$4:$AF$27,$AS$30,FALSE)</f>
        <v>28.35</v>
      </c>
      <c r="AT5" s="698">
        <f>L5</f>
        <v>949732.2665204457</v>
      </c>
      <c r="AU5" s="698">
        <f>AT5*AS5/3600</f>
        <v>7479.1415988485105</v>
      </c>
      <c r="AV5" s="699">
        <f>AU5*$AL$5/$AU$28</f>
        <v>7720.9183173040383</v>
      </c>
      <c r="AW5" s="700">
        <f>$AL$6</f>
        <v>21.592508896755888</v>
      </c>
      <c r="AX5" s="671">
        <f>AV5*AW5</f>
        <v>166713.99745751295</v>
      </c>
      <c r="AY5" s="465">
        <f>AX5/$AX$28</f>
        <v>3.958817676290422E-3</v>
      </c>
      <c r="AZ5" s="553">
        <f>IF($AT5=0,0,ROUND(IF(VLOOKUP(AQ5,$AQ$4:$AT$27,$AZ$30,FALSE)&lt;&gt;0,AX5/VLOOKUP(AQ5,$AQ$4:$AT$27,$AZ$30,FALSE)*100,""),6))</f>
        <v>17.553788999999998</v>
      </c>
      <c r="BD5" s="222">
        <v>2</v>
      </c>
      <c r="BE5" s="665" t="s">
        <v>317</v>
      </c>
      <c r="BF5" s="667">
        <v>0.5</v>
      </c>
      <c r="BG5" s="707">
        <f>BF5*$BG$6</f>
        <v>9586712.8881295025</v>
      </c>
      <c r="BK5" s="222">
        <f>+BK4+1</f>
        <v>2</v>
      </c>
      <c r="BL5" s="663">
        <f>FR5</f>
        <v>2</v>
      </c>
      <c r="BM5" s="660" t="s">
        <v>385</v>
      </c>
      <c r="BN5" s="662">
        <f>VLOOKUP(BL5,$AQ$4:$AY$28,$BN$33,FALSE)</f>
        <v>3.958817676290422E-3</v>
      </c>
      <c r="BO5" s="671">
        <f>BN5*$BO$28</f>
        <v>37952.048439048274</v>
      </c>
      <c r="BP5" s="662">
        <f>VLOOKUP(BL5,$J$4:$M$27,$BP$33,FALSE)</f>
        <v>4.3237184304190584E-4</v>
      </c>
      <c r="BQ5" s="671">
        <f>BP5*$BQ$28</f>
        <v>4145.0247201541451</v>
      </c>
      <c r="BR5" s="710">
        <f>BQ5+BO5</f>
        <v>42097.073159202417</v>
      </c>
      <c r="BS5" s="711">
        <f>IF($AT5=0,0,ROUND(IF(VLOOKUP(BL5,$AQ$4:$AT$27,$AZ$30,FALSE)&lt;&gt;0,BR5/VLOOKUP(BL5,$AQ$4:$AT$27,$AZ$30,FALSE)*100,""),6))</f>
        <v>4.4325200000000002</v>
      </c>
      <c r="BW5" s="222">
        <f>+BW4+1</f>
        <v>2</v>
      </c>
      <c r="BX5" s="660" t="s">
        <v>382</v>
      </c>
      <c r="BY5" s="716">
        <v>0.15813243766864218</v>
      </c>
      <c r="BZ5" s="717">
        <f>BY5*$BZ$9</f>
        <v>3964967.9477535193</v>
      </c>
      <c r="CA5" s="718">
        <v>1</v>
      </c>
      <c r="CB5" s="718"/>
      <c r="CC5" s="717">
        <f>CA5*$BZ5</f>
        <v>3964967.9477535193</v>
      </c>
      <c r="CD5" s="717">
        <f>CB5*$BZ5</f>
        <v>0</v>
      </c>
      <c r="CH5" s="222">
        <f>+CH4+1</f>
        <v>2</v>
      </c>
      <c r="CI5" s="681">
        <f>FR5</f>
        <v>2</v>
      </c>
      <c r="CJ5" s="660" t="s">
        <v>385</v>
      </c>
      <c r="CK5" s="723">
        <f>VLOOKUP(CI5,$J$4:$M$27,$CK$32,FALSE)</f>
        <v>4.3237184304190584E-4</v>
      </c>
      <c r="CL5" s="650">
        <f>CK5*$CL$28</f>
        <v>2534.450798391325</v>
      </c>
      <c r="CM5" s="723">
        <f>VLOOKUP(CI5,$J$4:$P$27,$CM$32,FALSE)</f>
        <v>4.6689695119233668E-3</v>
      </c>
      <c r="CN5" s="650">
        <f>CM5*$CN$28</f>
        <v>89700.139321695722</v>
      </c>
      <c r="CO5" s="650">
        <f>CN5+CL5</f>
        <v>92234.590120087043</v>
      </c>
      <c r="CP5" s="723">
        <f>CO5/$CO$28</f>
        <v>3.6785368167531292E-3</v>
      </c>
      <c r="CQ5" s="724">
        <f>IF($AT5=0,0,ROUND(IF(VLOOKUP(CI5,$AQ$4:$AT$27,$AZ$30,FALSE)&lt;&gt;0,CO5/VLOOKUP(CI5,$AQ$4:$AT$27,$AZ$30,FALSE)*100,""),6))</f>
        <v>9.7116410000000002</v>
      </c>
      <c r="CU5" s="222">
        <f>+CU4+1</f>
        <v>2</v>
      </c>
      <c r="CV5" s="733" t="s">
        <v>49</v>
      </c>
      <c r="CW5" s="723">
        <v>1</v>
      </c>
      <c r="CX5" s="723">
        <v>0</v>
      </c>
      <c r="CY5" s="734">
        <v>0</v>
      </c>
      <c r="CZ5" s="650">
        <f>CW5*$DC5</f>
        <v>376694.73457649816</v>
      </c>
      <c r="DA5" s="650">
        <f>CX5*$DC5</f>
        <v>0</v>
      </c>
      <c r="DB5" s="650">
        <f>CY5*$DC5</f>
        <v>0</v>
      </c>
      <c r="DC5" s="650">
        <v>376694.73457649816</v>
      </c>
      <c r="DG5" s="551">
        <f>+DG4+1</f>
        <v>2</v>
      </c>
      <c r="DH5" s="677">
        <f>FR5</f>
        <v>2</v>
      </c>
      <c r="DI5" s="660" t="s">
        <v>385</v>
      </c>
      <c r="DJ5" s="723">
        <f>VLOOKUP(DH5,$CI$4:$CP$27,$DJ$33,FALSE)</f>
        <v>3.6785368167531292E-3</v>
      </c>
      <c r="DK5" s="650">
        <f>DJ5*$DK$28</f>
        <v>1385.6854498166965</v>
      </c>
      <c r="DL5" s="723">
        <f>VLOOKUP(DH5,$J$4:$Q$27,$DL$33,FALSE)</f>
        <v>4.6689695119233668E-3</v>
      </c>
      <c r="DM5" s="650">
        <f>DL5*$DM$28</f>
        <v>11430.270054194443</v>
      </c>
      <c r="DN5" s="723">
        <f>VLOOKUP(DH5,$J$4:$Q$27,$DN$33,FALSE)</f>
        <v>4.3237184304190584E-4</v>
      </c>
      <c r="DO5" s="650">
        <f>DN5*$DO$28</f>
        <v>1534.428874249322</v>
      </c>
      <c r="DP5" s="650">
        <f>DK5+DM5+DO5</f>
        <v>14350.384378260462</v>
      </c>
      <c r="DQ5" s="723">
        <f>DP5/$DP$28</f>
        <v>2.2515018446964902E-3</v>
      </c>
      <c r="DR5" s="724">
        <f>IF($AT5=0,0,ROUND(IF(VLOOKUP(DH5,$AQ$4:$AT$27,$AZ$30,FALSE)&lt;&gt;0,DP5/VLOOKUP(DH5,$AQ$4:$AT$27,$AZ$30,FALSE)*100,""),6))</f>
        <v>1.510993</v>
      </c>
      <c r="DV5" s="551">
        <f>+DV4+1</f>
        <v>2</v>
      </c>
      <c r="DW5" s="677">
        <f>GG5</f>
        <v>2</v>
      </c>
      <c r="DX5" s="660" t="s">
        <v>385</v>
      </c>
      <c r="DY5" s="723">
        <f>VLOOKUP(DW5,$J$4:$Q$27,$DY$33,FALSE)</f>
        <v>4.6689695119233668E-3</v>
      </c>
      <c r="DZ5" s="650">
        <f>DY5*$DZ$28</f>
        <v>18843.99564462827</v>
      </c>
      <c r="EA5" s="724">
        <f>IF($AT5=0,0,ROUND(IF(VLOOKUP(DW5,$AQ$4:$AT$27,$AZ$30,FALSE)&lt;&gt;0,DZ5/VLOOKUP(DW5,$AQ$4:$AT$27,$AZ$30,FALSE)*100,""),6))</f>
        <v>1.984138</v>
      </c>
      <c r="EE5" s="222">
        <v>2</v>
      </c>
      <c r="EF5" s="660" t="s">
        <v>49</v>
      </c>
      <c r="EG5" s="650">
        <v>927204.15030545439</v>
      </c>
      <c r="EH5" s="651">
        <f>EG5/$EG$7</f>
        <v>7.7040694403786011E-2</v>
      </c>
      <c r="EI5" s="650">
        <f>EH5*$EI$7</f>
        <v>1015726.0836739559</v>
      </c>
      <c r="EM5" s="551">
        <f>+EM4+1</f>
        <v>2</v>
      </c>
      <c r="EN5" s="677">
        <f>FR5</f>
        <v>2</v>
      </c>
      <c r="EO5" s="660" t="s">
        <v>385</v>
      </c>
      <c r="EP5" s="723">
        <f>VLOOKUP(EN5,$V$4:$Y$27,$EP$33,FALSE)</f>
        <v>3.4540022687992414E-3</v>
      </c>
      <c r="EQ5" s="650">
        <f>EP5*$EQ$28</f>
        <v>27178.740928428986</v>
      </c>
      <c r="ER5" s="723">
        <f>VLOOKUP(EN5,$CI$4:$CP$27,$ER$33,FALSE)</f>
        <v>3.6785368167531292E-3</v>
      </c>
      <c r="ES5" s="650">
        <f>ER5*$ES$28</f>
        <v>3736.3857945311161</v>
      </c>
      <c r="ET5" s="723">
        <f>VLOOKUP(EN5,$J$4:$M$27,$ET$33,FALSE)</f>
        <v>4.3237184304190584E-4</v>
      </c>
      <c r="EU5" s="650">
        <f>ET5*$EU$28</f>
        <v>1859.1065457654756</v>
      </c>
      <c r="EV5" s="650">
        <f>EQ5+ES5+EU5</f>
        <v>32774.233268725577</v>
      </c>
      <c r="EW5" s="723">
        <f>EV5/$EV$28</f>
        <v>2.4858568960259E-3</v>
      </c>
      <c r="EX5" s="724">
        <f>IF($AT5=0,0,ROUND(IF(VLOOKUP(EN5,$AQ$4:$AT$27,$AZ$30,FALSE)&lt;&gt;0,EV5/VLOOKUP(EN5,$AQ$4:$AT$27,$AZ$30,FALSE)*100,""),6))</f>
        <v>3.4508920000000001</v>
      </c>
      <c r="FB5" s="297">
        <v>2</v>
      </c>
      <c r="FC5" s="745" t="s">
        <v>383</v>
      </c>
      <c r="FD5" s="727">
        <f>C12</f>
        <v>-335624.95105193462</v>
      </c>
      <c r="FH5" s="551">
        <f>+FH4+1</f>
        <v>2</v>
      </c>
      <c r="FI5" s="670">
        <f>FR5</f>
        <v>2</v>
      </c>
      <c r="FJ5" s="660" t="s">
        <v>385</v>
      </c>
      <c r="FK5" s="723">
        <f>Y5</f>
        <v>3.4540022687992414E-3</v>
      </c>
      <c r="FL5" s="650">
        <f>Y5*$FL$28</f>
        <v>68177.883343769397</v>
      </c>
      <c r="FM5" s="724">
        <f>IF($AT5=0,0,ROUND(IF(VLOOKUP(FI5,$AQ$4:$AT$27,$AZ$30,FALSE)&lt;&gt;0,FL5/VLOOKUP(FI5,$AQ$4:$AT$27,$AZ$30,FALSE)*100,""),6))</f>
        <v>7.178642</v>
      </c>
      <c r="FQ5" s="222">
        <f>+FQ4+1</f>
        <v>2</v>
      </c>
      <c r="FR5" s="670">
        <v>2</v>
      </c>
      <c r="FS5" s="660" t="s">
        <v>385</v>
      </c>
      <c r="FT5" s="650">
        <f>VLOOKUP(FR5,$AQ$4:$AZ$27,$FT$33,FALSE)</f>
        <v>166713.99745751295</v>
      </c>
      <c r="FU5" s="650">
        <f>VLOOKUP(FR5,$BL$4:$BS$86,$FU$33,FALSE)</f>
        <v>42097.073159202417</v>
      </c>
      <c r="FV5" s="650">
        <f>VLOOKUP(FR5,$CI$4:$CQ$27,$FV$33,FALSE)</f>
        <v>92234.590120087043</v>
      </c>
      <c r="FW5" s="650">
        <f>VLOOKUP(FR5,$DH$4:$DP$27,$FW$33,FALSE)</f>
        <v>14350.384378260462</v>
      </c>
      <c r="FX5" s="650">
        <f>VLOOKUP(FR5,$DW$4:$EA$27,$FX$33,FALSE)</f>
        <v>18843.99564462827</v>
      </c>
      <c r="FY5" s="650">
        <f>VLOOKUP(FR5,$EN$4:$EV$28,$FY$34,FALSE)</f>
        <v>32774.233268725577</v>
      </c>
      <c r="FZ5" s="650">
        <f>VLOOKUP(FR5,$FI$4:$FL$27,$FZ$33,FALSE)</f>
        <v>68177.883343769397</v>
      </c>
      <c r="GA5" s="650">
        <f>SUM(FT5:FZ5)</f>
        <v>435192.15737218608</v>
      </c>
      <c r="GB5" s="747">
        <f>IF($AT5=0,0,ROUND(IF(VLOOKUP(FR5,$AQ$4:$AT$27,$AZ$30,FALSE)&lt;&gt;0,GA5/VLOOKUP(FR5,$AQ$4:$AT$27,$AZ$30,FALSE)*100,""),6))</f>
        <v>45.822614999999999</v>
      </c>
      <c r="GF5" s="551">
        <f>+GF4+1</f>
        <v>2</v>
      </c>
      <c r="GG5" s="670">
        <f>FR5</f>
        <v>2</v>
      </c>
      <c r="GH5" s="660" t="s">
        <v>385</v>
      </c>
      <c r="GI5" s="724">
        <f>VLOOKUP(GG5,$AQ$4:$AZ$27,$GI$31,FALSE)</f>
        <v>17.553788999999998</v>
      </c>
      <c r="GJ5" s="724">
        <f>VLOOKUP(GG5,$BL$4:$BS$27,$GJ$31,FALSE)</f>
        <v>4.4325200000000002</v>
      </c>
      <c r="GK5" s="724">
        <f>VLOOKUP(GG5,$CI$4:$CQ$27,$GK$31,FALSE)</f>
        <v>9.7116410000000002</v>
      </c>
      <c r="GL5" s="724">
        <f>VLOOKUP(GG5,$DH$4:$DR$27,$GL$31,FALSE)</f>
        <v>1.510993</v>
      </c>
      <c r="GM5" s="724">
        <f>VLOOKUP(GG5,$DW$4:$EA$27,$GM$31,FALSE)</f>
        <v>1.984138</v>
      </c>
      <c r="GN5" s="724">
        <f>VLOOKUP(GG5,$EN$4:$EX$28,$GN$31,FALSE)</f>
        <v>3.4508920000000001</v>
      </c>
      <c r="GO5" s="724">
        <f>VLOOKUP(GG5,$FI$4:$FM$27,$GO$31,FALSE)</f>
        <v>7.178642</v>
      </c>
      <c r="GP5" s="724">
        <f>VLOOKUP(GG5,$FR$4:$GB$27,$GP$31,FALSE)</f>
        <v>45.822614999999999</v>
      </c>
      <c r="GQ5" s="661">
        <f>L5</f>
        <v>949732.2665204457</v>
      </c>
      <c r="GR5" s="530"/>
      <c r="GU5" s="222">
        <f>+GU4+1</f>
        <v>2</v>
      </c>
      <c r="GV5" s="670">
        <f>FR5</f>
        <v>2</v>
      </c>
      <c r="GW5" s="660" t="s">
        <v>385</v>
      </c>
      <c r="GX5" s="663" t="s">
        <v>379</v>
      </c>
      <c r="GY5" s="671">
        <f>GA5</f>
        <v>435192.15737218608</v>
      </c>
      <c r="GZ5" s="661">
        <f>VLOOKUP(GV5,$GG$4:$GQ$27,$GZ$34,FALSE)</f>
        <v>949732.2665204457</v>
      </c>
      <c r="HA5" s="724">
        <f>IF(GW5="Specialty Containers",$HA$31,ROUND(IF(GZ5&lt;&gt;0,GY5/GZ5*100,0),6))</f>
        <v>45.822614999999999</v>
      </c>
      <c r="HB5" s="650">
        <f>ROUND(HA5,10)*GZ5/100</f>
        <v>435192.16001843772</v>
      </c>
      <c r="HC5" s="750">
        <f>HB5-GY5</f>
        <v>2.64625163981691E-3</v>
      </c>
      <c r="HD5" s="549"/>
      <c r="HG5" s="297">
        <v>2</v>
      </c>
      <c r="HH5" s="665" t="s">
        <v>384</v>
      </c>
      <c r="HI5" s="754">
        <f>SUMIF($GX$4:$GX$27,$HH5,GY$4:GY$27)</f>
        <v>2282219.983202504</v>
      </c>
      <c r="HJ5" s="755">
        <f>HI5/HI$6</f>
        <v>1.7597230437175863E-2</v>
      </c>
      <c r="HK5" s="754">
        <f>SUMIF($GX$4:$GX$27,$HH5,HB$4:HB$27)</f>
        <v>2282219.8773046639</v>
      </c>
      <c r="HL5" s="751">
        <f>SUMIF($GX$4:$GX$27,$HH5,HC$4:HC$27)</f>
        <v>-0.10589784022886306</v>
      </c>
      <c r="HM5" s="549"/>
      <c r="HP5" s="551">
        <f>+HP4+1</f>
        <v>2</v>
      </c>
      <c r="HQ5" s="762">
        <f>FR5</f>
        <v>2</v>
      </c>
      <c r="HR5" s="660" t="s">
        <v>385</v>
      </c>
      <c r="HS5" s="661">
        <f>L5</f>
        <v>949732.2665204457</v>
      </c>
      <c r="HT5" s="757">
        <f>HA5</f>
        <v>45.822614999999999</v>
      </c>
      <c r="HU5" s="757">
        <v>41.377299000000001</v>
      </c>
      <c r="HV5" s="651">
        <f>IF(HU5&lt;&gt;0,HT5/HU5-1,"")</f>
        <v>0.10743369208318798</v>
      </c>
      <c r="HW5" s="757">
        <f>HT5-HU5</f>
        <v>4.4453159999999983</v>
      </c>
      <c r="HX5" s="652">
        <v>25</v>
      </c>
      <c r="IO5" s="551">
        <v>2</v>
      </c>
      <c r="IP5" s="762">
        <v>2</v>
      </c>
      <c r="IQ5" s="660" t="s">
        <v>385</v>
      </c>
      <c r="IR5" s="772">
        <f>GY5</f>
        <v>435192.15737218608</v>
      </c>
      <c r="IS5" s="773">
        <f>GZ5</f>
        <v>949732.2665204457</v>
      </c>
      <c r="IT5" s="774">
        <f>HA5</f>
        <v>45.822614999999999</v>
      </c>
      <c r="IU5" s="661">
        <f>IS5*$IJ$4/(1-$IK$4)</f>
        <v>138823.19223792761</v>
      </c>
      <c r="IV5" s="661">
        <f>IS5-IU5</f>
        <v>810909.07428251812</v>
      </c>
      <c r="IW5" s="772">
        <f>IU5*$IH$4</f>
        <v>2082.3478835689139</v>
      </c>
      <c r="IX5" s="772">
        <f>IR5-IW5</f>
        <v>433109.80948861717</v>
      </c>
      <c r="IY5" s="455">
        <f>IX5/IS5*100</f>
        <v>45.603358415462793</v>
      </c>
      <c r="IZ5" s="555">
        <f>IY5+1.5</f>
        <v>47.103358415462793</v>
      </c>
      <c r="JA5" s="772">
        <f>(IY5*IV5+IZ5*IU5)/100</f>
        <v>435192.15737218614</v>
      </c>
      <c r="JB5" s="778">
        <f>IT5-IY5</f>
        <v>0.21925658453720587</v>
      </c>
      <c r="JF5" s="551">
        <f>+JF4+1</f>
        <v>2</v>
      </c>
      <c r="JG5" s="762">
        <f>FR5</f>
        <v>2</v>
      </c>
      <c r="JH5" s="660" t="s">
        <v>385</v>
      </c>
      <c r="JI5" s="661">
        <f>L5</f>
        <v>949732.2665204457</v>
      </c>
      <c r="JJ5" s="757">
        <f>IY5</f>
        <v>45.603358415462793</v>
      </c>
      <c r="JK5" s="757">
        <v>41.15506612786816</v>
      </c>
      <c r="JL5" s="651">
        <f>IF(JK5&lt;&gt;0,JJ5/JK5-1,"")</f>
        <v>0.10808614117576321</v>
      </c>
      <c r="JM5" s="757">
        <f>JJ5-JK5</f>
        <v>4.4482922875946329</v>
      </c>
      <c r="JN5" s="652">
        <v>25</v>
      </c>
      <c r="JS5" s="757">
        <v>45.730487229304238</v>
      </c>
      <c r="JT5" s="757">
        <f>JJ5-JS5</f>
        <v>-0.12712881384144481</v>
      </c>
      <c r="JU5" s="1010">
        <v>940536</v>
      </c>
      <c r="JV5" s="1010">
        <f>JU5-JI5</f>
        <v>-9196.2665204457007</v>
      </c>
      <c r="JW5" s="1069">
        <f>JT5/JS5</f>
        <v>-2.7799575631894924E-3</v>
      </c>
      <c r="JX5" s="997">
        <v>430111.69536700891</v>
      </c>
      <c r="JY5" s="997">
        <f>JI5*JJ5/100</f>
        <v>433109.80948861717</v>
      </c>
      <c r="JZ5" s="516"/>
      <c r="KA5" s="516" t="s">
        <v>443</v>
      </c>
      <c r="KB5" s="997">
        <f>SUMPRODUCT(JT4:JT27,JI4:JI27)/100</f>
        <v>-353468.12659001246</v>
      </c>
      <c r="KC5" s="516"/>
      <c r="KE5" s="516"/>
      <c r="KF5" s="516"/>
    </row>
    <row r="6" spans="1:292" ht="17.25" thickBot="1" x14ac:dyDescent="0.35">
      <c r="A6" s="543">
        <v>3</v>
      </c>
      <c r="B6" s="645" t="s">
        <v>48</v>
      </c>
      <c r="C6" s="646">
        <f>'DCA 3 month Phase I'!MC16</f>
        <v>19173425.776259005</v>
      </c>
      <c r="D6" s="647">
        <f>C6/$C$13</f>
        <v>0.14783337713712832</v>
      </c>
      <c r="E6" s="986">
        <v>0.87345682084506993</v>
      </c>
      <c r="I6" s="543">
        <f>+I5+1</f>
        <v>3</v>
      </c>
      <c r="J6" s="654">
        <f>FR6</f>
        <v>3</v>
      </c>
      <c r="K6" s="655" t="s">
        <v>389</v>
      </c>
      <c r="L6" s="991">
        <v>2993966.5247672005</v>
      </c>
      <c r="M6" s="657">
        <f>L6/$L$28</f>
        <v>1.363022895981071E-3</v>
      </c>
      <c r="N6" s="656">
        <v>816</v>
      </c>
      <c r="O6" s="656">
        <f>IFERROR(L6/N6,0)</f>
        <v>3669.0766234892162</v>
      </c>
      <c r="P6" s="657">
        <f>O6/$O$28</f>
        <v>2.0562763365309885E-3</v>
      </c>
      <c r="Q6" s="658" t="s">
        <v>379</v>
      </c>
      <c r="U6" s="545">
        <f>+U5+1</f>
        <v>3</v>
      </c>
      <c r="V6" s="669">
        <f>FR6</f>
        <v>3</v>
      </c>
      <c r="W6" s="655" t="s">
        <v>389</v>
      </c>
      <c r="X6" s="646">
        <f>SUM(FT6:FX6)</f>
        <v>222594.90650213519</v>
      </c>
      <c r="Y6" s="657">
        <f>SUM(FT6:FX6)/SUM($FT$28:$FX$28)</f>
        <v>2.3002729126469501E-3</v>
      </c>
      <c r="AC6" s="545">
        <f>+AC5+1</f>
        <v>3</v>
      </c>
      <c r="AD6" s="678">
        <v>3</v>
      </c>
      <c r="AE6" s="679" t="s">
        <v>389</v>
      </c>
      <c r="AF6" s="680">
        <v>6.29</v>
      </c>
      <c r="AJ6" s="545">
        <f>+AJ5+1</f>
        <v>3</v>
      </c>
      <c r="AK6" s="556" t="s">
        <v>386</v>
      </c>
      <c r="AL6" s="691">
        <f>AL4/AL5</f>
        <v>21.592508896755888</v>
      </c>
      <c r="AM6" s="557"/>
      <c r="AN6" s="558"/>
      <c r="AO6" s="557"/>
      <c r="AP6" s="545">
        <f>+AP5+1</f>
        <v>3</v>
      </c>
      <c r="AQ6" s="693">
        <f>FR6</f>
        <v>3</v>
      </c>
      <c r="AR6" s="655" t="s">
        <v>389</v>
      </c>
      <c r="AS6" s="655">
        <f>VLOOKUP(AQ6,$AD$4:$AF$27,$AS$30,FALSE)</f>
        <v>6.29</v>
      </c>
      <c r="AT6" s="694">
        <f>L6</f>
        <v>2993966.5247672005</v>
      </c>
      <c r="AU6" s="694">
        <f>AT6*AS6/3600</f>
        <v>5231.1248446626923</v>
      </c>
      <c r="AV6" s="695">
        <f>AU6*$AL$5/$AU$28</f>
        <v>5400.2303739614626</v>
      </c>
      <c r="AW6" s="696">
        <f>$AL$6</f>
        <v>21.592508896755888</v>
      </c>
      <c r="AX6" s="646">
        <f>AV6*AW6</f>
        <v>116604.52239429425</v>
      </c>
      <c r="AY6" s="544">
        <f>AX6/$AX$28</f>
        <v>2.768909938156676E-3</v>
      </c>
      <c r="AZ6" s="548">
        <f>IF($AT6=0,0,ROUND(IF(VLOOKUP(AQ6,$AQ$4:$AT$27,$AZ$30,FALSE)&lt;&gt;0,AX6/VLOOKUP(AQ6,$AQ$4:$AT$27,$AZ$30,FALSE)*100,""),6))</f>
        <v>3.8946499999999999</v>
      </c>
      <c r="BD6" s="559">
        <v>3</v>
      </c>
      <c r="BE6" s="560" t="s">
        <v>71</v>
      </c>
      <c r="BF6" s="784">
        <f>SUM(BF4:BF5)</f>
        <v>1</v>
      </c>
      <c r="BG6" s="785">
        <f>C6</f>
        <v>19173425.776259005</v>
      </c>
      <c r="BK6" s="543">
        <f>+BK5+1</f>
        <v>3</v>
      </c>
      <c r="BL6" s="658">
        <f>FR6</f>
        <v>3</v>
      </c>
      <c r="BM6" s="655" t="s">
        <v>389</v>
      </c>
      <c r="BN6" s="657">
        <f>VLOOKUP(BL6,$AQ$4:$AY$28,$BN$33,FALSE)</f>
        <v>2.768909938156676E-3</v>
      </c>
      <c r="BO6" s="646">
        <f>BN6*$BO$28</f>
        <v>26544.744590196471</v>
      </c>
      <c r="BP6" s="657">
        <f>VLOOKUP(BL6,$J$4:$M$27,$BP$33,FALSE)</f>
        <v>1.363022895981071E-3</v>
      </c>
      <c r="BQ6" s="646">
        <f>BP6*$BQ$28</f>
        <v>13066.909163717331</v>
      </c>
      <c r="BR6" s="708">
        <f>BQ6+BO6</f>
        <v>39611.653753913801</v>
      </c>
      <c r="BS6" s="709">
        <f>IF($AT6=0,0,ROUND(IF(VLOOKUP(BL6,$AQ$4:$AT$27,$AZ$30,FALSE)&lt;&gt;0,BR6/VLOOKUP(BL6,$AQ$4:$AT$27,$AZ$30,FALSE)*100,""),6))</f>
        <v>1.3230489999999999</v>
      </c>
      <c r="BW6" s="543">
        <f>+BW5+1</f>
        <v>3</v>
      </c>
      <c r="BX6" s="655" t="s">
        <v>387</v>
      </c>
      <c r="BY6" s="647">
        <v>0.11819476827566944</v>
      </c>
      <c r="BZ6" s="715">
        <f>BY6*$BZ$9</f>
        <v>2963582.1385817751</v>
      </c>
      <c r="CA6" s="648"/>
      <c r="CB6" s="648">
        <v>1</v>
      </c>
      <c r="CC6" s="715">
        <f>CA6*$BZ6</f>
        <v>0</v>
      </c>
      <c r="CD6" s="715">
        <f>CB6*$BZ6</f>
        <v>2963582.1385817751</v>
      </c>
      <c r="CH6" s="543">
        <f>+CH5+1</f>
        <v>3</v>
      </c>
      <c r="CI6" s="678">
        <f>FR6</f>
        <v>3</v>
      </c>
      <c r="CJ6" s="655" t="s">
        <v>389</v>
      </c>
      <c r="CK6" s="657">
        <f>VLOOKUP(CI6,$J$4:$M$27,$CK$32,FALSE)</f>
        <v>1.363022895981071E-3</v>
      </c>
      <c r="CL6" s="646">
        <f>CK6*$CL$28</f>
        <v>7989.6841631522866</v>
      </c>
      <c r="CM6" s="657">
        <f>VLOOKUP(CI6,$J$4:$P$27,$CM$32,FALSE)</f>
        <v>2.0562763365309885E-3</v>
      </c>
      <c r="CN6" s="646">
        <f>CM6*$CN$28</f>
        <v>39505.135640680783</v>
      </c>
      <c r="CO6" s="646">
        <f>CN6+CL6</f>
        <v>47494.819803833067</v>
      </c>
      <c r="CP6" s="657">
        <f>CO6/$CO$28</f>
        <v>1.8942074012145095E-3</v>
      </c>
      <c r="CQ6" s="709">
        <f>IF($AT6=0,0,ROUND(IF(VLOOKUP(CI6,$AQ$4:$AT$27,$AZ$30,FALSE)&lt;&gt;0,CO6/VLOOKUP(CI6,$AQ$4:$AT$27,$AZ$30,FALSE)*100,""),6))</f>
        <v>1.5863510000000001</v>
      </c>
      <c r="CU6" s="561">
        <v>3</v>
      </c>
      <c r="CV6" s="735" t="s">
        <v>377</v>
      </c>
      <c r="CW6" s="736">
        <v>0</v>
      </c>
      <c r="CX6" s="736">
        <v>0</v>
      </c>
      <c r="CY6" s="737">
        <v>1</v>
      </c>
      <c r="CZ6" s="738">
        <f>CW6*$DC6</f>
        <v>0</v>
      </c>
      <c r="DA6" s="738">
        <f>CX6*$DC6</f>
        <v>0</v>
      </c>
      <c r="DB6" s="738">
        <f>CY6*$DC6</f>
        <v>1100728.5042167718</v>
      </c>
      <c r="DC6" s="738">
        <v>1100728.5042167718</v>
      </c>
      <c r="DG6" s="545">
        <f>+DG5+1</f>
        <v>3</v>
      </c>
      <c r="DH6" s="739">
        <f>FR6</f>
        <v>3</v>
      </c>
      <c r="DI6" s="655" t="s">
        <v>389</v>
      </c>
      <c r="DJ6" s="657">
        <f>VLOOKUP(DH6,$CI$4:$CP$27,$DJ$33,FALSE)</f>
        <v>1.8942074012145095E-3</v>
      </c>
      <c r="DK6" s="646">
        <f>DJ6*$DK$28</f>
        <v>713.53795423333804</v>
      </c>
      <c r="DL6" s="657">
        <f>VLOOKUP(DH6,$J$4:$Q$27,$DL$33,FALSE)</f>
        <v>2.0562763365309885E-3</v>
      </c>
      <c r="DM6" s="646">
        <f>DL6*$DM$28</f>
        <v>5034.0431164898528</v>
      </c>
      <c r="DN6" s="657">
        <f>VLOOKUP(DH6,$J$4:$Q$27,$DN$33,FALSE)</f>
        <v>1.363022895981071E-3</v>
      </c>
      <c r="DO6" s="646">
        <f>DN6*$DO$28</f>
        <v>4837.1829052096236</v>
      </c>
      <c r="DP6" s="646">
        <f>DK6+DM6+DO6</f>
        <v>10584.763975932814</v>
      </c>
      <c r="DQ6" s="657">
        <f>DP6/$DP$28</f>
        <v>1.6606952809983565E-3</v>
      </c>
      <c r="DR6" s="709">
        <f>IF($AT6=0,0,ROUND(IF(VLOOKUP(DH6,$AQ$4:$AT$27,$AZ$30,FALSE)&lt;&gt;0,DP6/VLOOKUP(DH6,$AQ$4:$AT$27,$AZ$30,FALSE)*100,""),6))</f>
        <v>0.35353600000000002</v>
      </c>
      <c r="DV6" s="545">
        <f>+DV5+1</f>
        <v>3</v>
      </c>
      <c r="DW6" s="739">
        <f>GG6</f>
        <v>3</v>
      </c>
      <c r="DX6" s="655" t="s">
        <v>389</v>
      </c>
      <c r="DY6" s="657">
        <f>VLOOKUP(DW6,$J$4:$Q$27,$DY$33,FALSE)</f>
        <v>2.0562763365309885E-3</v>
      </c>
      <c r="DZ6" s="646">
        <f>DY6*$DZ$28</f>
        <v>8299.1465741612483</v>
      </c>
      <c r="EA6" s="709">
        <f>IF($AT6=0,0,ROUND(IF(VLOOKUP(DW6,$AQ$4:$AT$27,$AZ$30,FALSE)&lt;&gt;0,DZ6/VLOOKUP(DW6,$AQ$4:$AT$27,$AZ$30,FALSE)*100,""),6))</f>
        <v>0.277196</v>
      </c>
      <c r="EE6" s="561">
        <v>3</v>
      </c>
      <c r="EF6" s="719" t="s">
        <v>169</v>
      </c>
      <c r="EG6" s="738">
        <v>3925054.0147022721</v>
      </c>
      <c r="EH6" s="720">
        <f>EG6/$EG$7</f>
        <v>0.32612978141374083</v>
      </c>
      <c r="EI6" s="738">
        <f>EH6*$EI$7</f>
        <v>4299786.3428985812</v>
      </c>
      <c r="EM6" s="545">
        <f>+EM5+1</f>
        <v>3</v>
      </c>
      <c r="EN6" s="739">
        <f>FR6</f>
        <v>3</v>
      </c>
      <c r="EO6" s="655" t="s">
        <v>389</v>
      </c>
      <c r="EP6" s="657">
        <f>VLOOKUP(EN6,$V$4:$Y$27,$EP$33,FALSE)</f>
        <v>2.3002729126469501E-3</v>
      </c>
      <c r="EQ6" s="646">
        <f>EP6*$EQ$28</f>
        <v>18100.312823259472</v>
      </c>
      <c r="ER6" s="657">
        <f>VLOOKUP(EN6,$CI$4:$CP$27,$ER$33,FALSE)</f>
        <v>1.8942074012145095E-3</v>
      </c>
      <c r="ES6" s="646">
        <f>ER6*$ES$28</f>
        <v>1923.9958653018355</v>
      </c>
      <c r="ET6" s="657">
        <f>VLOOKUP(EN6,$J$4:$M$27,$ET$33,FALSE)</f>
        <v>1.363022895981071E-3</v>
      </c>
      <c r="EU6" s="646">
        <f>ET6*$EU$28</f>
        <v>5860.7072331974823</v>
      </c>
      <c r="EV6" s="646">
        <f>EQ6+ES6+EU6</f>
        <v>25885.01592175879</v>
      </c>
      <c r="EW6" s="657">
        <f>EV6/$EV$28</f>
        <v>1.9633242006074979E-3</v>
      </c>
      <c r="EX6" s="709">
        <f>IF($AT6=0,0,ROUND(IF(VLOOKUP(EN6,$AQ$4:$AT$27,$AZ$30,FALSE)&lt;&gt;0,EV6/VLOOKUP(EN6,$AQ$4:$AT$27,$AZ$30,FALSE)*100,""),6))</f>
        <v>0.86457300000000004</v>
      </c>
      <c r="FB6" s="562">
        <v>3</v>
      </c>
      <c r="FC6" s="563" t="s">
        <v>388</v>
      </c>
      <c r="FD6" s="564">
        <f>SUM(FD4:FD5)</f>
        <v>19738806.763283029</v>
      </c>
      <c r="FH6" s="545">
        <f>+FH5+1</f>
        <v>3</v>
      </c>
      <c r="FI6" s="669">
        <f>FR6</f>
        <v>3</v>
      </c>
      <c r="FJ6" s="655" t="s">
        <v>389</v>
      </c>
      <c r="FK6" s="657">
        <f>Y6</f>
        <v>2.3002729126469501E-3</v>
      </c>
      <c r="FL6" s="646">
        <f>Y6*$FL$28</f>
        <v>45404.642525552372</v>
      </c>
      <c r="FM6" s="709">
        <f>IF($AT6=0,0,ROUND(IF(VLOOKUP(FI6,$AQ$4:$AT$27,$AZ$30,FALSE)&lt;&gt;0,FL6/VLOOKUP(FI6,$AQ$4:$AT$27,$AZ$30,FALSE)*100,""),6))</f>
        <v>1.5165379999999999</v>
      </c>
      <c r="FQ6" s="543">
        <v>3</v>
      </c>
      <c r="FR6" s="669">
        <v>3</v>
      </c>
      <c r="FS6" s="655" t="s">
        <v>389</v>
      </c>
      <c r="FT6" s="646">
        <f>VLOOKUP(FR6,$AQ$4:$AZ$27,$FT$33,FALSE)</f>
        <v>116604.52239429425</v>
      </c>
      <c r="FU6" s="646">
        <f>VLOOKUP(FR6,$BL$4:$BS$86,$FU$33,FALSE)</f>
        <v>39611.653753913801</v>
      </c>
      <c r="FV6" s="646">
        <f>VLOOKUP(FR6,$CI$4:$CQ$27,$FV$33,FALSE)</f>
        <v>47494.819803833067</v>
      </c>
      <c r="FW6" s="646">
        <f>VLOOKUP(FR6,$DH$4:$DP$27,$FW$33,FALSE)</f>
        <v>10584.763975932814</v>
      </c>
      <c r="FX6" s="646">
        <f>VLOOKUP(FR6,$DW$4:$EA$27,$FX$33,FALSE)</f>
        <v>8299.1465741612483</v>
      </c>
      <c r="FY6" s="646">
        <f>VLOOKUP(FR6,$EN$4:$EV$28,$FY$34,FALSE)</f>
        <v>25885.01592175879</v>
      </c>
      <c r="FZ6" s="646">
        <f>VLOOKUP(FR6,$FI$4:$FL$27,$FZ$33,FALSE)</f>
        <v>45404.642525552372</v>
      </c>
      <c r="GA6" s="646">
        <f>SUM(FT6:FZ6)</f>
        <v>293884.56494944636</v>
      </c>
      <c r="GB6" s="746">
        <f>IF($AT6=0,0,ROUND(IF(VLOOKUP(FR6,$AQ$4:$AT$27,$AZ$30,FALSE)&lt;&gt;0,GA6/VLOOKUP(FR6,$AQ$4:$AT$27,$AZ$30,FALSE)*100,""),6))</f>
        <v>9.8158930000000009</v>
      </c>
      <c r="GF6" s="545">
        <f>+GF5+1</f>
        <v>3</v>
      </c>
      <c r="GG6" s="669">
        <f>FR6</f>
        <v>3</v>
      </c>
      <c r="GH6" s="655" t="s">
        <v>389</v>
      </c>
      <c r="GI6" s="709">
        <f>VLOOKUP(GG6,$AQ$4:$AZ$27,$GI$31,FALSE)</f>
        <v>3.8946499999999999</v>
      </c>
      <c r="GJ6" s="709">
        <f>VLOOKUP(GG6,$BL$4:$BS$27,$GJ$31,FALSE)</f>
        <v>1.3230489999999999</v>
      </c>
      <c r="GK6" s="709">
        <f>VLOOKUP(GG6,$CI$4:$CQ$27,$GK$31,FALSE)</f>
        <v>1.5863510000000001</v>
      </c>
      <c r="GL6" s="709">
        <f>VLOOKUP(GG6,$DH$4:$DR$27,$GL$31,FALSE)</f>
        <v>0.35353600000000002</v>
      </c>
      <c r="GM6" s="709">
        <f>VLOOKUP(GG6,$DW$4:$EA$27,$GM$31,FALSE)</f>
        <v>0.277196</v>
      </c>
      <c r="GN6" s="709">
        <f>VLOOKUP(GG6,$EN$4:$EX$28,$GN$31,FALSE)</f>
        <v>0.86457300000000004</v>
      </c>
      <c r="GO6" s="709">
        <f>VLOOKUP(GG6,$FI$4:$FM$27,$GO$31,FALSE)</f>
        <v>1.5165379999999999</v>
      </c>
      <c r="GP6" s="709">
        <f>VLOOKUP(GG6,$FR$4:$GB$27,$GP$31,FALSE)</f>
        <v>9.8158930000000009</v>
      </c>
      <c r="GQ6" s="656">
        <f>L6</f>
        <v>2993966.5247672005</v>
      </c>
      <c r="GR6" s="530"/>
      <c r="GU6" s="543">
        <f>+GU5+1</f>
        <v>3</v>
      </c>
      <c r="GV6" s="669">
        <f>FR6</f>
        <v>3</v>
      </c>
      <c r="GW6" s="655" t="s">
        <v>389</v>
      </c>
      <c r="GX6" s="658" t="s">
        <v>379</v>
      </c>
      <c r="GY6" s="646">
        <f>GA6</f>
        <v>293884.56494944636</v>
      </c>
      <c r="GZ6" s="656">
        <f>VLOOKUP(GV6,$GG$4:$GQ$27,$GZ$34,FALSE)</f>
        <v>2993966.5247672005</v>
      </c>
      <c r="HA6" s="709">
        <f>IF(GW6="Specialty Containers",$HA$31,ROUND(IF(GZ6&lt;&gt;0,GY6/GZ6*100,0),6))</f>
        <v>9.8158930000000009</v>
      </c>
      <c r="HB6" s="646">
        <f>ROUND(HA6,10)*GZ6/100</f>
        <v>293884.55052696692</v>
      </c>
      <c r="HC6" s="749">
        <f>HB6-GY6</f>
        <v>-1.4422479434870183E-2</v>
      </c>
      <c r="HD6" s="565"/>
      <c r="HG6" s="562">
        <v>3</v>
      </c>
      <c r="HH6" s="566" t="s">
        <v>88</v>
      </c>
      <c r="HI6" s="567">
        <f>SUM(HI4:HI5)</f>
        <v>129691998.48523276</v>
      </c>
      <c r="HJ6" s="568">
        <f>SUM(HJ4:HJ5)</f>
        <v>1</v>
      </c>
      <c r="HK6" s="567">
        <f>SUM(HK4:HK5)</f>
        <v>129691993.59973666</v>
      </c>
      <c r="HL6" s="569">
        <f>SUM(HL4:HL5)</f>
        <v>-4.8854960735200166</v>
      </c>
      <c r="HM6" s="565"/>
      <c r="HP6" s="545">
        <f>+HP5+1</f>
        <v>3</v>
      </c>
      <c r="HQ6" s="761">
        <f>FR6</f>
        <v>3</v>
      </c>
      <c r="HR6" s="655" t="s">
        <v>389</v>
      </c>
      <c r="HS6" s="656">
        <f>L6</f>
        <v>2993966.5247672005</v>
      </c>
      <c r="HT6" s="756">
        <f>HA6</f>
        <v>9.8158930000000009</v>
      </c>
      <c r="HU6" s="756">
        <v>8.6401970000000006</v>
      </c>
      <c r="HV6" s="647">
        <f>IF(HU6&lt;&gt;0,HT6/HU6-1,"")</f>
        <v>0.1360728233395605</v>
      </c>
      <c r="HW6" s="756">
        <f>HT6-HU6</f>
        <v>1.1756960000000003</v>
      </c>
      <c r="HX6" s="648">
        <v>10</v>
      </c>
      <c r="IO6" s="545">
        <v>3</v>
      </c>
      <c r="IP6" s="761">
        <v>3</v>
      </c>
      <c r="IQ6" s="655" t="s">
        <v>389</v>
      </c>
      <c r="IR6" s="769">
        <f>GY6</f>
        <v>293884.56494944636</v>
      </c>
      <c r="IS6" s="770">
        <f>GZ6</f>
        <v>2993966.5247672005</v>
      </c>
      <c r="IT6" s="771">
        <f>HA6</f>
        <v>9.8158930000000009</v>
      </c>
      <c r="IU6" s="656">
        <f>IS6*$IJ$4/(1-$IK$4)</f>
        <v>437630.69348421419</v>
      </c>
      <c r="IV6" s="656">
        <f>IS6-IU6</f>
        <v>2556335.8312829863</v>
      </c>
      <c r="IW6" s="769">
        <f>IU6*$IH$4</f>
        <v>6564.4604022632129</v>
      </c>
      <c r="IX6" s="769">
        <f>IR6-IW6</f>
        <v>287320.10454718315</v>
      </c>
      <c r="IY6" s="550">
        <f>IX6/IS6*100</f>
        <v>9.5966371758122477</v>
      </c>
      <c r="IZ6" s="550">
        <f>IY6+1.5</f>
        <v>11.096637175812248</v>
      </c>
      <c r="JA6" s="769">
        <f>(IY6*IV6+IZ6*IU6)/100</f>
        <v>293884.56494944642</v>
      </c>
      <c r="JB6" s="746">
        <f>IT6-IY6</f>
        <v>0.21925582418775313</v>
      </c>
      <c r="JF6" s="545">
        <f>+JF5+1</f>
        <v>3</v>
      </c>
      <c r="JG6" s="761">
        <f>FR6</f>
        <v>3</v>
      </c>
      <c r="JH6" s="655" t="s">
        <v>389</v>
      </c>
      <c r="JI6" s="656">
        <f>L6</f>
        <v>2993966.5247672005</v>
      </c>
      <c r="JJ6" s="756">
        <f>IY6</f>
        <v>9.5966371758122477</v>
      </c>
      <c r="JK6" s="756">
        <v>8.4179636538958409</v>
      </c>
      <c r="JL6" s="647">
        <f>IF(JK6&lt;&gt;0,JJ6/JK6-1,"")</f>
        <v>0.14001884189306479</v>
      </c>
      <c r="JM6" s="756">
        <f>JJ6-JK6</f>
        <v>1.1786735219164068</v>
      </c>
      <c r="JN6" s="648">
        <v>10</v>
      </c>
      <c r="JS6" s="756">
        <v>9.6211984482145372</v>
      </c>
      <c r="JT6" s="756">
        <f>JJ6-JS6</f>
        <v>-2.4561272402289447E-2</v>
      </c>
      <c r="JU6" s="1009">
        <v>2959233</v>
      </c>
      <c r="JV6" s="1009">
        <f>JU6-JI6</f>
        <v>-34733.524767200463</v>
      </c>
      <c r="JW6" s="1069">
        <f>JT6/JS6</f>
        <v>-2.5528287909753517E-3</v>
      </c>
      <c r="JX6" s="997">
        <v>284713.67947505252</v>
      </c>
      <c r="JY6" s="997">
        <f>JI6*JJ6/100</f>
        <v>287320.1045471832</v>
      </c>
      <c r="JZ6" s="516"/>
      <c r="KA6" s="516" t="s">
        <v>444</v>
      </c>
      <c r="KB6" s="997">
        <f>SUM(KB4:KB5)</f>
        <v>-1214855.8436669786</v>
      </c>
      <c r="KC6" s="516"/>
      <c r="KE6" s="516"/>
      <c r="KF6" s="516"/>
    </row>
    <row r="7" spans="1:292" ht="17.25" thickBot="1" x14ac:dyDescent="0.35">
      <c r="A7" s="222">
        <v>4</v>
      </c>
      <c r="B7" s="653" t="s">
        <v>49</v>
      </c>
      <c r="C7" s="650">
        <f>'DCA 3 month Phase I'!MC17</f>
        <v>25073716.728897151</v>
      </c>
      <c r="D7" s="651">
        <f>C7/$C$13</f>
        <v>0.19332654814364686</v>
      </c>
      <c r="E7" s="986">
        <v>1.1422480863023685</v>
      </c>
      <c r="I7" s="222">
        <f>+I6+1</f>
        <v>4</v>
      </c>
      <c r="J7" s="659">
        <f>FR7</f>
        <v>4</v>
      </c>
      <c r="K7" s="660" t="s">
        <v>392</v>
      </c>
      <c r="L7" s="991">
        <v>370488.99009856407</v>
      </c>
      <c r="M7" s="662">
        <f>L7/$L$28</f>
        <v>1.6866754255126913E-4</v>
      </c>
      <c r="N7" s="661">
        <v>172</v>
      </c>
      <c r="O7" s="661">
        <f>IFERROR(L7/N7,0)</f>
        <v>2154.0057563870005</v>
      </c>
      <c r="P7" s="662">
        <f>O7/$O$28</f>
        <v>1.2071786773964984E-3</v>
      </c>
      <c r="Q7" s="663" t="s">
        <v>379</v>
      </c>
      <c r="U7" s="551">
        <f>+U6+1</f>
        <v>4</v>
      </c>
      <c r="V7" s="670">
        <f>FR7</f>
        <v>4</v>
      </c>
      <c r="W7" s="660" t="s">
        <v>392</v>
      </c>
      <c r="X7" s="671">
        <f>SUM(FT7:FX7)</f>
        <v>60355.75149850965</v>
      </c>
      <c r="Y7" s="662">
        <f>SUM(FT7:FX7)/SUM($FT$28:$FX$28)</f>
        <v>6.2371013998534848E-4</v>
      </c>
      <c r="AC7" s="551">
        <f>+AC6+1</f>
        <v>4</v>
      </c>
      <c r="AD7" s="681">
        <v>4</v>
      </c>
      <c r="AE7" s="682" t="s">
        <v>392</v>
      </c>
      <c r="AF7" s="683">
        <v>9.15</v>
      </c>
      <c r="AJ7" s="570">
        <f>+AJ6+1</f>
        <v>4</v>
      </c>
      <c r="AK7" s="571" t="s">
        <v>390</v>
      </c>
      <c r="AL7" s="692">
        <f>AU28*3600/AT28</f>
        <v>3.0963137867273676</v>
      </c>
      <c r="AP7" s="551">
        <f>+AP6+1</f>
        <v>4</v>
      </c>
      <c r="AQ7" s="697">
        <f>FR7</f>
        <v>4</v>
      </c>
      <c r="AR7" s="660" t="s">
        <v>392</v>
      </c>
      <c r="AS7" s="660">
        <f>VLOOKUP(AQ7,$AD$4:$AF$27,$AS$30,FALSE)</f>
        <v>9.15</v>
      </c>
      <c r="AT7" s="698">
        <f>L7</f>
        <v>370488.99009856407</v>
      </c>
      <c r="AU7" s="698">
        <f>AT7*AS7/3600</f>
        <v>941.65951650051716</v>
      </c>
      <c r="AV7" s="699">
        <f>AU7*$AL$5/$AU$28</f>
        <v>972.10035583921433</v>
      </c>
      <c r="AW7" s="700">
        <f>$AL$6</f>
        <v>21.592508896755888</v>
      </c>
      <c r="AX7" s="671">
        <f>AV7*AW7</f>
        <v>20990.085581997799</v>
      </c>
      <c r="AY7" s="465">
        <f>AX7/$AX$28</f>
        <v>4.9843398332547687E-4</v>
      </c>
      <c r="AZ7" s="553">
        <f>IF($AT7=0,0,ROUND(IF(VLOOKUP(AQ7,$AQ$4:$AT$27,$AZ$30,FALSE)&lt;&gt;0,AX7/VLOOKUP(AQ7,$AQ$4:$AT$27,$AZ$30,FALSE)*100,""),6))</f>
        <v>5.6655090000000001</v>
      </c>
      <c r="BK7" s="222">
        <f>+BK6+1</f>
        <v>4</v>
      </c>
      <c r="BL7" s="663">
        <f>FR7</f>
        <v>4</v>
      </c>
      <c r="BM7" s="660" t="s">
        <v>392</v>
      </c>
      <c r="BN7" s="662">
        <f>VLOOKUP(BL7,$AQ$4:$AY$28,$BN$33,FALSE)</f>
        <v>4.9843398332547687E-4</v>
      </c>
      <c r="BO7" s="671">
        <f>BN7*$BO$28</f>
        <v>4778.3434918280745</v>
      </c>
      <c r="BP7" s="662">
        <f>VLOOKUP(BL7,$J$4:$M$27,$BP$33,FALSE)</f>
        <v>1.6866754255126913E-4</v>
      </c>
      <c r="BQ7" s="671">
        <f>BP7*$BQ$28</f>
        <v>1616.9673039853831</v>
      </c>
      <c r="BR7" s="710">
        <f>BQ7+BO7</f>
        <v>6395.3107958134578</v>
      </c>
      <c r="BS7" s="711">
        <f>IF($AT7=0,0,ROUND(IF(VLOOKUP(BL7,$AQ$4:$AT$27,$AZ$30,FALSE)&lt;&gt;0,BR7/VLOOKUP(BL7,$AQ$4:$AT$27,$AZ$30,FALSE)*100,""),6))</f>
        <v>1.726181</v>
      </c>
      <c r="BW7" s="222">
        <f>+BW6+1</f>
        <v>4</v>
      </c>
      <c r="BX7" s="660" t="s">
        <v>391</v>
      </c>
      <c r="BY7" s="716">
        <v>0.27421214545215511</v>
      </c>
      <c r="BZ7" s="717">
        <f>BY7*$BZ$9</f>
        <v>6875517.6586904805</v>
      </c>
      <c r="CA7" s="718"/>
      <c r="CB7" s="718">
        <v>1</v>
      </c>
      <c r="CC7" s="717">
        <f>CA7*$BZ7</f>
        <v>0</v>
      </c>
      <c r="CD7" s="717">
        <f>CB7*$BZ7</f>
        <v>6875517.6586904805</v>
      </c>
      <c r="CH7" s="222">
        <f>+CH6+1</f>
        <v>4</v>
      </c>
      <c r="CI7" s="681">
        <f>FR7</f>
        <v>4</v>
      </c>
      <c r="CJ7" s="660" t="s">
        <v>392</v>
      </c>
      <c r="CK7" s="723">
        <f>VLOOKUP(CI7,$J$4:$M$27,$CK$32,FALSE)</f>
        <v>1.6866754255126913E-4</v>
      </c>
      <c r="CL7" s="650">
        <f>CK7*$CL$28</f>
        <v>988.68507457442161</v>
      </c>
      <c r="CM7" s="723">
        <f>VLOOKUP(CI7,$J$4:$P$27,$CM$32,FALSE)</f>
        <v>1.2071786773964984E-3</v>
      </c>
      <c r="CN7" s="650">
        <f>CM7*$CN$28</f>
        <v>23192.290134282543</v>
      </c>
      <c r="CO7" s="650">
        <f>CN7+CL7</f>
        <v>24180.975208856966</v>
      </c>
      <c r="CP7" s="723">
        <f>CO7/$CO$28</f>
        <v>9.6439532560359026E-4</v>
      </c>
      <c r="CQ7" s="724">
        <f>IF($AT7=0,0,ROUND(IF(VLOOKUP(CI7,$AQ$4:$AT$27,$AZ$30,FALSE)&lt;&gt;0,CO7/VLOOKUP(CI7,$AQ$4:$AT$27,$AZ$30,FALSE)*100,""),6))</f>
        <v>6.5267730000000004</v>
      </c>
      <c r="CU7" s="274">
        <v>4</v>
      </c>
      <c r="CV7" s="572" t="s">
        <v>71</v>
      </c>
      <c r="CW7" s="430"/>
      <c r="CX7" s="430"/>
      <c r="CY7" s="573"/>
      <c r="CZ7" s="277">
        <f>SUM(CZ4:CZ6)</f>
        <v>376694.73457649816</v>
      </c>
      <c r="DA7" s="277">
        <f>SUM(DA4:DA6)</f>
        <v>2448135.5093462113</v>
      </c>
      <c r="DB7" s="277">
        <f>SUM(DB4:DB6)</f>
        <v>3548864.0135629829</v>
      </c>
      <c r="DC7" s="277">
        <f>SUM(DC4:DC6)</f>
        <v>6373694.2574856924</v>
      </c>
      <c r="DG7" s="551">
        <f>+DG6+1</f>
        <v>4</v>
      </c>
      <c r="DH7" s="677">
        <f>FR7</f>
        <v>4</v>
      </c>
      <c r="DI7" s="660" t="s">
        <v>392</v>
      </c>
      <c r="DJ7" s="723">
        <f>VLOOKUP(DH7,$CI$4:$CP$27,$DJ$33,FALSE)</f>
        <v>9.6439532560359026E-4</v>
      </c>
      <c r="DK7" s="650">
        <f>DJ7*$DK$28</f>
        <v>363.28264120505997</v>
      </c>
      <c r="DL7" s="723">
        <f>VLOOKUP(DH7,$J$4:$Q$27,$DL$33,FALSE)</f>
        <v>1.2071786773964984E-3</v>
      </c>
      <c r="DM7" s="650">
        <f>DL7*$DM$28</f>
        <v>2955.3369862599625</v>
      </c>
      <c r="DN7" s="723">
        <f>VLOOKUP(DH7,$J$4:$Q$27,$DN$33,FALSE)</f>
        <v>1.6866754255126913E-4</v>
      </c>
      <c r="DO7" s="650">
        <f>DN7*$DO$28</f>
        <v>598.57817201630212</v>
      </c>
      <c r="DP7" s="650">
        <f>DK7+DM7+DO7</f>
        <v>3917.1977994813246</v>
      </c>
      <c r="DQ7" s="723">
        <f>DP7/$DP$28</f>
        <v>6.1458828133789222E-4</v>
      </c>
      <c r="DR7" s="724">
        <f>IF($AT7=0,0,ROUND(IF(VLOOKUP(DH7,$AQ$4:$AT$27,$AZ$30,FALSE)&lt;&gt;0,DP7/VLOOKUP(DH7,$AQ$4:$AT$27,$AZ$30,FALSE)*100,""),6))</f>
        <v>1.0573049999999999</v>
      </c>
      <c r="DV7" s="551">
        <f>+DV6+1</f>
        <v>4</v>
      </c>
      <c r="DW7" s="677">
        <f>GG7</f>
        <v>4</v>
      </c>
      <c r="DX7" s="660" t="s">
        <v>392</v>
      </c>
      <c r="DY7" s="723">
        <f>VLOOKUP(DW7,$J$4:$Q$27,$DY$33,FALSE)</f>
        <v>1.2071786773964984E-3</v>
      </c>
      <c r="DZ7" s="650">
        <f>DY7*$DZ$28</f>
        <v>4872.1821123601076</v>
      </c>
      <c r="EA7" s="724">
        <f>IF($AT7=0,0,ROUND(IF(VLOOKUP(DW7,$AQ$4:$AT$27,$AZ$30,FALSE)&lt;&gt;0,DZ7/VLOOKUP(DW7,$AQ$4:$AT$27,$AZ$30,FALSE)*100,""),6))</f>
        <v>1.3150679999999999</v>
      </c>
      <c r="EE7" s="574">
        <v>4</v>
      </c>
      <c r="EF7" s="369" t="s">
        <v>71</v>
      </c>
      <c r="EG7" s="277">
        <f>SUM(EG4:EG6)</f>
        <v>12035251.726130454</v>
      </c>
      <c r="EH7" s="575">
        <f>EG7/$EG$7</f>
        <v>1</v>
      </c>
      <c r="EI7" s="277">
        <f>C10</f>
        <v>13184279.964434486</v>
      </c>
      <c r="EM7" s="551">
        <f>+EM6+1</f>
        <v>4</v>
      </c>
      <c r="EN7" s="677">
        <f>FR7</f>
        <v>4</v>
      </c>
      <c r="EO7" s="660" t="s">
        <v>392</v>
      </c>
      <c r="EP7" s="723">
        <f>VLOOKUP(EN7,$V$4:$Y$27,$EP$33,FALSE)</f>
        <v>6.2371013998534848E-4</v>
      </c>
      <c r="EQ7" s="650">
        <f>EP7*$EQ$28</f>
        <v>4907.8301025520404</v>
      </c>
      <c r="ER7" s="723">
        <f>VLOOKUP(EN7,$CI$4:$CP$27,$ER$33,FALSE)</f>
        <v>9.6439532560359026E-4</v>
      </c>
      <c r="ES7" s="650">
        <f>ER7*$ES$28</f>
        <v>979.56148718880422</v>
      </c>
      <c r="ET7" s="723">
        <f>VLOOKUP(EN7,$J$4:$M$27,$ET$33,FALSE)</f>
        <v>1.6866754255126913E-4</v>
      </c>
      <c r="EU7" s="650">
        <f>ET7*$EU$28</f>
        <v>725.23439595221237</v>
      </c>
      <c r="EV7" s="650">
        <f>EQ7+ES7+EU7</f>
        <v>6612.6259856930565</v>
      </c>
      <c r="EW7" s="723">
        <f>EV7/$EV$28</f>
        <v>5.0155382042334326E-4</v>
      </c>
      <c r="EX7" s="724">
        <f>IF($AT7=0,0,ROUND(IF(VLOOKUP(EN7,$AQ$4:$AT$27,$AZ$30,FALSE)&lt;&gt;0,EV7/VLOOKUP(EN7,$AQ$4:$AT$27,$AZ$30,FALSE)*100,""),6))</f>
        <v>1.784837</v>
      </c>
      <c r="FD7" s="5"/>
      <c r="FH7" s="551">
        <f>+FH6+1</f>
        <v>4</v>
      </c>
      <c r="FI7" s="670">
        <f>FR7</f>
        <v>4</v>
      </c>
      <c r="FJ7" s="660" t="s">
        <v>392</v>
      </c>
      <c r="FK7" s="723">
        <f>Y7</f>
        <v>6.2371013998534848E-4</v>
      </c>
      <c r="FL7" s="650">
        <f>Y7*$FL$28</f>
        <v>12311.293929471001</v>
      </c>
      <c r="FM7" s="724">
        <f>IF($AT7=0,0,ROUND(IF(VLOOKUP(FI7,$AQ$4:$AT$27,$AZ$30,FALSE)&lt;&gt;0,FL7/VLOOKUP(FI7,$AQ$4:$AT$27,$AZ$30,FALSE)*100,""),6))</f>
        <v>3.3229850000000001</v>
      </c>
      <c r="FQ7" s="222">
        <v>4</v>
      </c>
      <c r="FR7" s="670">
        <v>4</v>
      </c>
      <c r="FS7" s="660" t="s">
        <v>392</v>
      </c>
      <c r="FT7" s="650">
        <f>VLOOKUP(FR7,$AQ$4:$AZ$27,$FT$33,FALSE)</f>
        <v>20990.085581997799</v>
      </c>
      <c r="FU7" s="650">
        <f>VLOOKUP(FR7,$BL$4:$BS$86,$FU$33,FALSE)</f>
        <v>6395.3107958134578</v>
      </c>
      <c r="FV7" s="650">
        <f>VLOOKUP(FR7,$CI$4:$CQ$27,$FV$33,FALSE)</f>
        <v>24180.975208856966</v>
      </c>
      <c r="FW7" s="650">
        <f>VLOOKUP(FR7,$DH$4:$DP$27,$FW$33,FALSE)</f>
        <v>3917.1977994813246</v>
      </c>
      <c r="FX7" s="650">
        <f>VLOOKUP(FR7,$DW$4:$EA$27,$FX$33,FALSE)</f>
        <v>4872.1821123601076</v>
      </c>
      <c r="FY7" s="650">
        <f>VLOOKUP(FR7,$EN$4:$EV$28,$FY$34,FALSE)</f>
        <v>6612.6259856930565</v>
      </c>
      <c r="FZ7" s="650">
        <f>VLOOKUP(FR7,$FI$4:$FL$27,$FZ$33,FALSE)</f>
        <v>12311.293929471001</v>
      </c>
      <c r="GA7" s="650">
        <f>SUM(FT7:FZ7)</f>
        <v>79279.671413673699</v>
      </c>
      <c r="GB7" s="747">
        <f>IF($AT7=0,0,ROUND(IF(VLOOKUP(FR7,$AQ$4:$AT$27,$AZ$30,FALSE)&lt;&gt;0,GA7/VLOOKUP(FR7,$AQ$4:$AT$27,$AZ$30,FALSE)*100,""),6))</f>
        <v>21.398658000000001</v>
      </c>
      <c r="GF7" s="551">
        <f>+GF6+1</f>
        <v>4</v>
      </c>
      <c r="GG7" s="670">
        <f>FR7</f>
        <v>4</v>
      </c>
      <c r="GH7" s="660" t="s">
        <v>392</v>
      </c>
      <c r="GI7" s="724">
        <f>VLOOKUP(GG7,$AQ$4:$AZ$27,$GI$31,FALSE)</f>
        <v>5.6655090000000001</v>
      </c>
      <c r="GJ7" s="724">
        <f>VLOOKUP(GG7,$BL$4:$BS$27,$GJ$31,FALSE)</f>
        <v>1.726181</v>
      </c>
      <c r="GK7" s="724">
        <f>VLOOKUP(GG7,$CI$4:$CQ$27,$GK$31,FALSE)</f>
        <v>6.5267730000000004</v>
      </c>
      <c r="GL7" s="724">
        <f>VLOOKUP(GG7,$DH$4:$DR$27,$GL$31,FALSE)</f>
        <v>1.0573049999999999</v>
      </c>
      <c r="GM7" s="724">
        <f>VLOOKUP(GG7,$DW$4:$EA$27,$GM$31,FALSE)</f>
        <v>1.3150679999999999</v>
      </c>
      <c r="GN7" s="724">
        <f>VLOOKUP(GG7,$EN$4:$EX$28,$GN$31,FALSE)</f>
        <v>1.784837</v>
      </c>
      <c r="GO7" s="724">
        <f>VLOOKUP(GG7,$FI$4:$FM$27,$GO$31,FALSE)</f>
        <v>3.3229850000000001</v>
      </c>
      <c r="GP7" s="724">
        <f>VLOOKUP(GG7,$FR$4:$GB$27,$GP$31,FALSE)</f>
        <v>21.398658000000001</v>
      </c>
      <c r="GQ7" s="661">
        <f>L7</f>
        <v>370488.99009856407</v>
      </c>
      <c r="GR7" s="530"/>
      <c r="GU7" s="222">
        <f>+GU6+1</f>
        <v>4</v>
      </c>
      <c r="GV7" s="670">
        <f>FR7</f>
        <v>4</v>
      </c>
      <c r="GW7" s="660" t="s">
        <v>392</v>
      </c>
      <c r="GX7" s="663" t="s">
        <v>379</v>
      </c>
      <c r="GY7" s="671">
        <f>GA7</f>
        <v>79279.671413673699</v>
      </c>
      <c r="GZ7" s="661">
        <f>VLOOKUP(GV7,$GG$4:$GQ$27,$GZ$34,FALSE)</f>
        <v>370488.99009856407</v>
      </c>
      <c r="HA7" s="724">
        <f>IF(GW7="Specialty Containers",$HA$31,ROUND(IF(GZ7&lt;&gt;0,GY7/GZ7*100,0),6))</f>
        <v>21.398658000000001</v>
      </c>
      <c r="HB7" s="650">
        <f>ROUND(HA7,10)*GZ7/100</f>
        <v>79279.67191884559</v>
      </c>
      <c r="HC7" s="750">
        <f>HB7-GY7</f>
        <v>5.0517189083620906E-4</v>
      </c>
      <c r="HD7" s="549"/>
      <c r="HG7" s="549"/>
      <c r="HH7" s="549"/>
      <c r="HI7" s="549"/>
      <c r="HJ7" s="549"/>
      <c r="HK7" s="549"/>
      <c r="HL7" s="549"/>
      <c r="HM7" s="549"/>
      <c r="HP7" s="551">
        <f>+HP6+1</f>
        <v>4</v>
      </c>
      <c r="HQ7" s="762">
        <f>FR7</f>
        <v>4</v>
      </c>
      <c r="HR7" s="660" t="s">
        <v>392</v>
      </c>
      <c r="HS7" s="661">
        <f>L7</f>
        <v>370488.99009856407</v>
      </c>
      <c r="HT7" s="757">
        <f>HA7</f>
        <v>21.398658000000001</v>
      </c>
      <c r="HU7" s="757">
        <v>18.985862000000001</v>
      </c>
      <c r="HV7" s="651">
        <f>IF(HU7&lt;&gt;0,HT7/HU7-1,"")</f>
        <v>0.12708382690235509</v>
      </c>
      <c r="HW7" s="757">
        <f>HT7-HU7</f>
        <v>2.4127960000000002</v>
      </c>
      <c r="HX7" s="652">
        <v>25</v>
      </c>
      <c r="IO7" s="551">
        <v>4</v>
      </c>
      <c r="IP7" s="762">
        <v>4</v>
      </c>
      <c r="IQ7" s="660" t="s">
        <v>392</v>
      </c>
      <c r="IR7" s="772">
        <f>GY7</f>
        <v>79279.671413673699</v>
      </c>
      <c r="IS7" s="773">
        <f>GZ7</f>
        <v>370488.99009856407</v>
      </c>
      <c r="IT7" s="774">
        <f>HA7</f>
        <v>21.398658000000001</v>
      </c>
      <c r="IU7" s="661">
        <f>IS7*$IJ$4/(1-$IK$4)</f>
        <v>54154.698231874165</v>
      </c>
      <c r="IV7" s="661">
        <f>IS7-IU7</f>
        <v>316334.29186668992</v>
      </c>
      <c r="IW7" s="772">
        <f>IU7*$IH$4</f>
        <v>812.32047347811249</v>
      </c>
      <c r="IX7" s="772">
        <f>IR7-IW7</f>
        <v>78467.350940195582</v>
      </c>
      <c r="IY7" s="455">
        <f>IX7/IS7*100</f>
        <v>21.179401557741379</v>
      </c>
      <c r="IZ7" s="555">
        <f>IY7+1.5</f>
        <v>22.679401557741379</v>
      </c>
      <c r="JA7" s="772">
        <f>(IY7*IV7+IZ7*IU7)/100</f>
        <v>79279.671413673699</v>
      </c>
      <c r="JB7" s="778">
        <f>IT7-IY7</f>
        <v>0.21925644225862229</v>
      </c>
      <c r="JF7" s="551">
        <f>+JF6+1</f>
        <v>4</v>
      </c>
      <c r="JG7" s="762">
        <f>FR7</f>
        <v>4</v>
      </c>
      <c r="JH7" s="660" t="s">
        <v>392</v>
      </c>
      <c r="JI7" s="661">
        <f>L7</f>
        <v>370488.99009856407</v>
      </c>
      <c r="JJ7" s="757">
        <f>IY7</f>
        <v>21.179401557741379</v>
      </c>
      <c r="JK7" s="757">
        <v>18.76362854838003</v>
      </c>
      <c r="JL7" s="651">
        <f>IF(JK7&lt;&gt;0,JJ7/JK7-1,"")</f>
        <v>0.12874764617795198</v>
      </c>
      <c r="JM7" s="757">
        <f>JJ7-JK7</f>
        <v>2.4157730093613488</v>
      </c>
      <c r="JN7" s="652">
        <v>25</v>
      </c>
      <c r="JS7" s="757">
        <v>21.254814106638431</v>
      </c>
      <c r="JT7" s="757">
        <f>JJ7-JS7</f>
        <v>-7.5412548897052289E-2</v>
      </c>
      <c r="JU7" s="1010">
        <v>360281</v>
      </c>
      <c r="JV7" s="1010">
        <f>JU7-JI7</f>
        <v>-10207.990098564071</v>
      </c>
      <c r="JW7" s="1069">
        <f>JT7/JS7</f>
        <v>-3.5480220395575695E-3</v>
      </c>
      <c r="JX7" s="997">
        <v>76577.056811538001</v>
      </c>
      <c r="JY7" s="997">
        <f>JI7*JJ7/100</f>
        <v>78467.350940195582</v>
      </c>
      <c r="JZ7" s="516"/>
      <c r="KA7" s="516"/>
      <c r="KB7" s="516"/>
      <c r="KC7" s="516"/>
      <c r="KE7" s="516"/>
      <c r="KF7" s="516"/>
    </row>
    <row r="8" spans="1:292" ht="16.5" x14ac:dyDescent="0.3">
      <c r="A8" s="543">
        <v>5</v>
      </c>
      <c r="B8" s="645" t="s">
        <v>52</v>
      </c>
      <c r="C8" s="646">
        <f>'DCA 3 month Phase I'!MC18</f>
        <v>6377885.8178472156</v>
      </c>
      <c r="D8" s="647">
        <f>C8/$C$13</f>
        <v>4.9175583458581869E-2</v>
      </c>
      <c r="E8" s="986">
        <v>0.29035743471963715</v>
      </c>
      <c r="I8" s="543">
        <f>+I7+1</f>
        <v>5</v>
      </c>
      <c r="J8" s="654">
        <f>FR8</f>
        <v>5</v>
      </c>
      <c r="K8" s="655" t="s">
        <v>394</v>
      </c>
      <c r="L8" s="991">
        <v>0</v>
      </c>
      <c r="M8" s="657">
        <f>L8/$L$28</f>
        <v>0</v>
      </c>
      <c r="N8" s="656">
        <v>10</v>
      </c>
      <c r="O8" s="656">
        <f>IFERROR(L8/N8,0)</f>
        <v>0</v>
      </c>
      <c r="P8" s="657">
        <f>O8/$O$28</f>
        <v>0</v>
      </c>
      <c r="Q8" s="658" t="s">
        <v>384</v>
      </c>
      <c r="U8" s="545">
        <f>+U7+1</f>
        <v>5</v>
      </c>
      <c r="V8" s="669">
        <f>FR8</f>
        <v>5</v>
      </c>
      <c r="W8" s="655" t="s">
        <v>394</v>
      </c>
      <c r="X8" s="646">
        <f>SUM(FT8:FX8)</f>
        <v>0</v>
      </c>
      <c r="Y8" s="657">
        <f>SUM(FT8:FX8)/SUM($FT$28:$FX$28)</f>
        <v>0</v>
      </c>
      <c r="AC8" s="545">
        <f>+AC7+1</f>
        <v>5</v>
      </c>
      <c r="AD8" s="678">
        <v>5</v>
      </c>
      <c r="AE8" s="679" t="s">
        <v>394</v>
      </c>
      <c r="AF8" s="680">
        <v>73.19</v>
      </c>
      <c r="AJ8" s="501"/>
      <c r="AP8" s="545">
        <f>+AP7+1</f>
        <v>5</v>
      </c>
      <c r="AQ8" s="693">
        <f>FR8</f>
        <v>5</v>
      </c>
      <c r="AR8" s="655" t="s">
        <v>394</v>
      </c>
      <c r="AS8" s="655">
        <f>VLOOKUP(AQ8,$AD$4:$AF$27,$AS$30,FALSE)</f>
        <v>73.19</v>
      </c>
      <c r="AT8" s="694">
        <f>L8</f>
        <v>0</v>
      </c>
      <c r="AU8" s="694">
        <f>AT8*AS8/3600</f>
        <v>0</v>
      </c>
      <c r="AV8" s="695">
        <f>AU8*$AL$5/$AU$28</f>
        <v>0</v>
      </c>
      <c r="AW8" s="696">
        <f>$AL$6</f>
        <v>21.592508896755888</v>
      </c>
      <c r="AX8" s="646">
        <f>AV8*AW8</f>
        <v>0</v>
      </c>
      <c r="AY8" s="544">
        <f>AX8/$AX$28</f>
        <v>0</v>
      </c>
      <c r="AZ8" s="548">
        <f>IF($AT8=0,0,ROUND(IF(VLOOKUP(AQ8,$AQ$4:$AT$27,$AZ$30,FALSE)&lt;&gt;0,AX8/VLOOKUP(AQ8,$AQ$4:$AT$27,$AZ$30,FALSE)*100,""),6))</f>
        <v>0</v>
      </c>
      <c r="BK8" s="543">
        <f>+BK7+1</f>
        <v>5</v>
      </c>
      <c r="BL8" s="658">
        <f>FR8</f>
        <v>5</v>
      </c>
      <c r="BM8" s="655" t="s">
        <v>394</v>
      </c>
      <c r="BN8" s="657">
        <f>VLOOKUP(BL8,$AQ$4:$AY$28,$BN$33,FALSE)</f>
        <v>0</v>
      </c>
      <c r="BO8" s="646">
        <f>BN8*$BO$28</f>
        <v>0</v>
      </c>
      <c r="BP8" s="657">
        <f>VLOOKUP(BL8,$J$4:$M$27,$BP$33,FALSE)</f>
        <v>0</v>
      </c>
      <c r="BQ8" s="646">
        <f>BP8*$BQ$28</f>
        <v>0</v>
      </c>
      <c r="BR8" s="708">
        <f>BQ8+BO8</f>
        <v>0</v>
      </c>
      <c r="BS8" s="709">
        <f>IF($AT8=0,0,ROUND(IF(VLOOKUP(BL8,$AQ$4:$AT$27,$AZ$30,FALSE)&lt;&gt;0,BR8/VLOOKUP(BL8,$AQ$4:$AT$27,$AZ$30,FALSE)*100,""),6))</f>
        <v>0</v>
      </c>
      <c r="BW8" s="561">
        <f>+BW7+1</f>
        <v>5</v>
      </c>
      <c r="BX8" s="719" t="s">
        <v>393</v>
      </c>
      <c r="BY8" s="720">
        <v>0.37381287569302735</v>
      </c>
      <c r="BZ8" s="721">
        <f>BY8*$BZ$9</f>
        <v>9372878.1547414102</v>
      </c>
      <c r="CA8" s="722"/>
      <c r="CB8" s="722">
        <v>1</v>
      </c>
      <c r="CC8" s="721">
        <f>CA8*$BZ8</f>
        <v>0</v>
      </c>
      <c r="CD8" s="721">
        <f>CB8*$BZ8</f>
        <v>9372878.1547414102</v>
      </c>
      <c r="CH8" s="543">
        <f>+CH7+1</f>
        <v>5</v>
      </c>
      <c r="CI8" s="678">
        <f>FR8</f>
        <v>5</v>
      </c>
      <c r="CJ8" s="655" t="s">
        <v>394</v>
      </c>
      <c r="CK8" s="657">
        <f>VLOOKUP(CI8,$J$4:$M$27,$CK$32,FALSE)</f>
        <v>0</v>
      </c>
      <c r="CL8" s="646">
        <f>CK8*$CL$28</f>
        <v>0</v>
      </c>
      <c r="CM8" s="657">
        <f>VLOOKUP(CI8,$J$4:$P$27,$CM$32,FALSE)</f>
        <v>0</v>
      </c>
      <c r="CN8" s="646">
        <f>CM8*$CN$28</f>
        <v>0</v>
      </c>
      <c r="CO8" s="646">
        <f>CN8+CL8</f>
        <v>0</v>
      </c>
      <c r="CP8" s="657">
        <f>CO8/$CO$28</f>
        <v>0</v>
      </c>
      <c r="CQ8" s="709">
        <f>IF($AT8=0,0,ROUND(IF(VLOOKUP(CI8,$AQ$4:$AT$27,$AZ$30,FALSE)&lt;&gt;0,CO8/VLOOKUP(CI8,$AQ$4:$AT$27,$AZ$30,FALSE)*100,""),6))</f>
        <v>0</v>
      </c>
      <c r="CW8" s="232"/>
      <c r="CX8" s="232"/>
      <c r="CY8" s="232"/>
      <c r="CZ8" s="232"/>
      <c r="DA8" s="232"/>
      <c r="DB8" s="232"/>
      <c r="DC8" s="232"/>
      <c r="DG8" s="545">
        <f>+DG7+1</f>
        <v>5</v>
      </c>
      <c r="DH8" s="739">
        <f>FR8</f>
        <v>5</v>
      </c>
      <c r="DI8" s="655" t="s">
        <v>394</v>
      </c>
      <c r="DJ8" s="657">
        <f>VLOOKUP(DH8,$CI$4:$CP$27,$DJ$33,FALSE)</f>
        <v>0</v>
      </c>
      <c r="DK8" s="646">
        <f>DJ8*$DK$28</f>
        <v>0</v>
      </c>
      <c r="DL8" s="657">
        <f>VLOOKUP(DH8,$J$4:$Q$27,$DL$33,FALSE)</f>
        <v>0</v>
      </c>
      <c r="DM8" s="646">
        <f>DL8*$DM$28</f>
        <v>0</v>
      </c>
      <c r="DN8" s="657">
        <f>VLOOKUP(DH8,$J$4:$Q$27,$DN$33,FALSE)</f>
        <v>0</v>
      </c>
      <c r="DO8" s="646">
        <f>DN8*$DO$28</f>
        <v>0</v>
      </c>
      <c r="DP8" s="646">
        <f>DK8+DM8+DO8</f>
        <v>0</v>
      </c>
      <c r="DQ8" s="657">
        <f>DP8/$DP$28</f>
        <v>0</v>
      </c>
      <c r="DR8" s="709">
        <f>IF($AT8=0,0,ROUND(IF(VLOOKUP(DH8,$AQ$4:$AT$27,$AZ$30,FALSE)&lt;&gt;0,DP8/VLOOKUP(DH8,$AQ$4:$AT$27,$AZ$30,FALSE)*100,""),6))</f>
        <v>0</v>
      </c>
      <c r="DV8" s="545">
        <f>+DV7+1</f>
        <v>5</v>
      </c>
      <c r="DW8" s="739">
        <f>GG8</f>
        <v>5</v>
      </c>
      <c r="DX8" s="655" t="s">
        <v>394</v>
      </c>
      <c r="DY8" s="657">
        <f>VLOOKUP(DW8,$J$4:$Q$27,$DY$33,FALSE)</f>
        <v>0</v>
      </c>
      <c r="DZ8" s="646">
        <f>DY8*$DZ$28</f>
        <v>0</v>
      </c>
      <c r="EA8" s="709">
        <f>IF($AT8=0,0,ROUND(IF(VLOOKUP(DW8,$AQ$4:$AT$27,$AZ$30,FALSE)&lt;&gt;0,DZ8/VLOOKUP(DW8,$AQ$4:$AT$27,$AZ$30,FALSE)*100,""),6))</f>
        <v>0</v>
      </c>
      <c r="EM8" s="545">
        <f>+EM7+1</f>
        <v>5</v>
      </c>
      <c r="EN8" s="739">
        <f>FR8</f>
        <v>5</v>
      </c>
      <c r="EO8" s="655" t="s">
        <v>394</v>
      </c>
      <c r="EP8" s="657">
        <f>VLOOKUP(EN8,$V$4:$Y$27,$EP$33,FALSE)</f>
        <v>0</v>
      </c>
      <c r="EQ8" s="646">
        <f>EP8*$EQ$28</f>
        <v>0</v>
      </c>
      <c r="ER8" s="657">
        <f>VLOOKUP(EN8,$CI$4:$CP$27,$ER$33,FALSE)</f>
        <v>0</v>
      </c>
      <c r="ES8" s="646">
        <f>ER8*$ES$28</f>
        <v>0</v>
      </c>
      <c r="ET8" s="657">
        <f>VLOOKUP(EN8,$J$4:$M$27,$ET$33,FALSE)</f>
        <v>0</v>
      </c>
      <c r="EU8" s="646">
        <f>ET8*$EU$28</f>
        <v>0</v>
      </c>
      <c r="EV8" s="646">
        <f>EQ8+ES8+EU8</f>
        <v>0</v>
      </c>
      <c r="EW8" s="657">
        <f>EV8/$EV$28</f>
        <v>0</v>
      </c>
      <c r="EX8" s="709">
        <f>IF($AT8=0,0,ROUND(IF(VLOOKUP(EN8,$AQ$4:$AT$27,$AZ$30,FALSE)&lt;&gt;0,EV8/VLOOKUP(EN8,$AQ$4:$AT$27,$AZ$30,FALSE)*100,""),6))</f>
        <v>0</v>
      </c>
      <c r="FH8" s="545">
        <f>+FH7+1</f>
        <v>5</v>
      </c>
      <c r="FI8" s="669">
        <f>FR8</f>
        <v>5</v>
      </c>
      <c r="FJ8" s="655" t="s">
        <v>394</v>
      </c>
      <c r="FK8" s="657">
        <f>Y8</f>
        <v>0</v>
      </c>
      <c r="FL8" s="646">
        <f>Y8*$FL$28</f>
        <v>0</v>
      </c>
      <c r="FM8" s="709">
        <f>IF($AT8=0,0,ROUND(IF(VLOOKUP(FI8,$AQ$4:$AT$27,$AZ$30,FALSE)&lt;&gt;0,FL8/VLOOKUP(FI8,$AQ$4:$AT$27,$AZ$30,FALSE)*100,""),6))</f>
        <v>0</v>
      </c>
      <c r="FQ8" s="543">
        <v>5</v>
      </c>
      <c r="FR8" s="669">
        <v>5</v>
      </c>
      <c r="FS8" s="655" t="s">
        <v>394</v>
      </c>
      <c r="FT8" s="646">
        <f>VLOOKUP(FR8,$AQ$4:$AZ$27,$FT$33,FALSE)</f>
        <v>0</v>
      </c>
      <c r="FU8" s="646">
        <f>VLOOKUP(FR8,$BL$4:$BS$86,$FU$33,FALSE)</f>
        <v>0</v>
      </c>
      <c r="FV8" s="646">
        <f>VLOOKUP(FR8,$CI$4:$CQ$27,$FV$33,FALSE)</f>
        <v>0</v>
      </c>
      <c r="FW8" s="646">
        <f>VLOOKUP(FR8,$DH$4:$DP$27,$FW$33,FALSE)</f>
        <v>0</v>
      </c>
      <c r="FX8" s="646">
        <f>VLOOKUP(FR8,$DW$4:$EA$27,$FX$33,FALSE)</f>
        <v>0</v>
      </c>
      <c r="FY8" s="646">
        <f>VLOOKUP(FR8,$EN$4:$EV$28,$FY$34,FALSE)</f>
        <v>0</v>
      </c>
      <c r="FZ8" s="646">
        <f>VLOOKUP(FR8,$FI$4:$FL$27,$FZ$33,FALSE)</f>
        <v>0</v>
      </c>
      <c r="GA8" s="646">
        <f>SUM(FT8:FZ8)</f>
        <v>0</v>
      </c>
      <c r="GB8" s="746">
        <f>IF($AT8=0,0,ROUND(IF(VLOOKUP(FR8,$AQ$4:$AT$27,$AZ$30,FALSE)&lt;&gt;0,GA8/VLOOKUP(FR8,$AQ$4:$AT$27,$AZ$30,FALSE)*100,""),6))</f>
        <v>0</v>
      </c>
      <c r="GF8" s="545">
        <f>+GF7+1</f>
        <v>5</v>
      </c>
      <c r="GG8" s="669">
        <f>FR8</f>
        <v>5</v>
      </c>
      <c r="GH8" s="655" t="s">
        <v>394</v>
      </c>
      <c r="GI8" s="709">
        <f>VLOOKUP(GG8,$AQ$4:$AZ$27,$GI$31,FALSE)</f>
        <v>0</v>
      </c>
      <c r="GJ8" s="709">
        <f>VLOOKUP(GG8,$BL$4:$BS$27,$GJ$31,FALSE)</f>
        <v>0</v>
      </c>
      <c r="GK8" s="709">
        <f>VLOOKUP(GG8,$CI$4:$CQ$27,$GK$31,FALSE)</f>
        <v>0</v>
      </c>
      <c r="GL8" s="709">
        <f>VLOOKUP(GG8,$DH$4:$DR$27,$GL$31,FALSE)</f>
        <v>0</v>
      </c>
      <c r="GM8" s="709">
        <f>VLOOKUP(GG8,$DW$4:$EA$27,$GM$31,FALSE)</f>
        <v>0</v>
      </c>
      <c r="GN8" s="709">
        <f>VLOOKUP(GG8,$EN$4:$EX$28,$GN$31,FALSE)</f>
        <v>0</v>
      </c>
      <c r="GO8" s="709">
        <f>VLOOKUP(GG8,$FI$4:$FM$27,$GO$31,FALSE)</f>
        <v>0</v>
      </c>
      <c r="GP8" s="709">
        <f>VLOOKUP(GG8,$FR$4:$GB$27,$GP$31,FALSE)</f>
        <v>0</v>
      </c>
      <c r="GQ8" s="656">
        <f>L8</f>
        <v>0</v>
      </c>
      <c r="GR8" s="530"/>
      <c r="GU8" s="543">
        <f>+GU7+1</f>
        <v>5</v>
      </c>
      <c r="GV8" s="669">
        <f>FR8</f>
        <v>5</v>
      </c>
      <c r="GW8" s="655" t="s">
        <v>394</v>
      </c>
      <c r="GX8" s="658" t="s">
        <v>384</v>
      </c>
      <c r="GY8" s="646">
        <f>GA8</f>
        <v>0</v>
      </c>
      <c r="GZ8" s="656">
        <f>VLOOKUP(GV8,$GG$4:$GQ$27,$GZ$34,FALSE)</f>
        <v>0</v>
      </c>
      <c r="HA8" s="709">
        <f>IF(GW8="Specialty Containers",$HA$31,ROUND(IF(GZ8&lt;&gt;0,GY8/GZ8*100,0),6))</f>
        <v>3149</v>
      </c>
      <c r="HB8" s="646">
        <f>ROUND(HA8,10)*GZ8/100</f>
        <v>0</v>
      </c>
      <c r="HC8" s="749">
        <f>HB8-GY8</f>
        <v>0</v>
      </c>
      <c r="HD8" s="549"/>
      <c r="HG8" s="549"/>
      <c r="HH8" s="549"/>
      <c r="HI8" s="549"/>
      <c r="HJ8" s="549"/>
      <c r="HK8" s="549"/>
      <c r="HL8" s="549"/>
      <c r="HM8" s="549"/>
      <c r="HP8" s="545">
        <f>+HP7+1</f>
        <v>5</v>
      </c>
      <c r="HQ8" s="761">
        <f>FR8</f>
        <v>5</v>
      </c>
      <c r="HR8" s="655" t="s">
        <v>394</v>
      </c>
      <c r="HS8" s="656">
        <f>L8</f>
        <v>0</v>
      </c>
      <c r="HT8" s="756">
        <f>HA8</f>
        <v>3149</v>
      </c>
      <c r="HU8" s="756">
        <v>3149</v>
      </c>
      <c r="HV8" s="647">
        <f>IF(HU8&lt;&gt;0,HT8/HU8-1,"")</f>
        <v>0</v>
      </c>
      <c r="HW8" s="756">
        <f>HT8-HU8</f>
        <v>0</v>
      </c>
      <c r="HX8" s="648">
        <v>10000</v>
      </c>
      <c r="IO8" s="545">
        <v>5</v>
      </c>
      <c r="IP8" s="761">
        <v>5</v>
      </c>
      <c r="IQ8" s="655" t="s">
        <v>394</v>
      </c>
      <c r="IR8" s="769">
        <f>GY8</f>
        <v>0</v>
      </c>
      <c r="IS8" s="770">
        <f>GZ8</f>
        <v>0</v>
      </c>
      <c r="IT8" s="771">
        <f>HA8</f>
        <v>3149</v>
      </c>
      <c r="IU8" s="991">
        <v>0</v>
      </c>
      <c r="IV8" s="656">
        <f>IS8-IU8</f>
        <v>0</v>
      </c>
      <c r="IW8" s="769">
        <f>IU8*$IH$4</f>
        <v>0</v>
      </c>
      <c r="IX8" s="769">
        <f>IR8-IW8</f>
        <v>0</v>
      </c>
      <c r="IY8" s="550">
        <f>IT8</f>
        <v>3149</v>
      </c>
      <c r="IZ8" s="550">
        <f>IY8</f>
        <v>3149</v>
      </c>
      <c r="JA8" s="769">
        <f>(IY8*IV8+IZ8*IU8)/100</f>
        <v>0</v>
      </c>
      <c r="JB8" s="746">
        <f>IT8-IY8</f>
        <v>0</v>
      </c>
      <c r="JF8" s="545">
        <f>+JF7+1</f>
        <v>5</v>
      </c>
      <c r="JG8" s="761">
        <f>FR8</f>
        <v>5</v>
      </c>
      <c r="JH8" s="655" t="s">
        <v>394</v>
      </c>
      <c r="JI8" s="656">
        <f>L8</f>
        <v>0</v>
      </c>
      <c r="JJ8" s="756">
        <f>IY8</f>
        <v>3149</v>
      </c>
      <c r="JK8" s="756">
        <v>3149</v>
      </c>
      <c r="JL8" s="647">
        <f>IF(JK8&lt;&gt;0,JJ8/JK8-1,"")</f>
        <v>0</v>
      </c>
      <c r="JM8" s="756">
        <f>JJ8-JK8</f>
        <v>0</v>
      </c>
      <c r="JN8" s="648">
        <v>10000</v>
      </c>
      <c r="JS8" s="756">
        <v>3149</v>
      </c>
      <c r="JT8" s="756">
        <f>JJ8-JS8</f>
        <v>0</v>
      </c>
      <c r="JU8" s="1009">
        <v>0</v>
      </c>
      <c r="JV8" s="1009">
        <f>JU8-JI8</f>
        <v>0</v>
      </c>
      <c r="JW8" s="1069">
        <f>JT8/JS8</f>
        <v>0</v>
      </c>
      <c r="JX8" s="997">
        <v>0</v>
      </c>
      <c r="JY8" s="997">
        <f>JI8*JJ8/100</f>
        <v>0</v>
      </c>
      <c r="JZ8" s="516"/>
      <c r="KA8" s="516"/>
      <c r="KB8" s="516"/>
      <c r="KC8" s="516"/>
      <c r="KE8" s="516"/>
      <c r="KF8" s="516"/>
    </row>
    <row r="9" spans="1:292" ht="17.25" thickBot="1" x14ac:dyDescent="0.35">
      <c r="A9" s="222">
        <v>6</v>
      </c>
      <c r="B9" s="653" t="s">
        <v>50</v>
      </c>
      <c r="C9" s="650">
        <f>'DCA 3 month Phase I'!MC19</f>
        <v>4036007.430870018</v>
      </c>
      <c r="D9" s="651">
        <f>C9/$C$13</f>
        <v>3.1118935949091282E-2</v>
      </c>
      <c r="E9" s="986">
        <v>0.18374188525883148</v>
      </c>
      <c r="I9" s="222">
        <f>+I8+1</f>
        <v>6</v>
      </c>
      <c r="J9" s="659">
        <f>FR9</f>
        <v>6</v>
      </c>
      <c r="K9" s="660" t="s">
        <v>395</v>
      </c>
      <c r="L9" s="991">
        <v>4665890.8000932336</v>
      </c>
      <c r="M9" s="662">
        <f>L9/$L$28</f>
        <v>2.1241773874439104E-3</v>
      </c>
      <c r="N9" s="661">
        <v>1810</v>
      </c>
      <c r="O9" s="661">
        <f>IFERROR(L9/N9,0)</f>
        <v>2577.8402210459853</v>
      </c>
      <c r="P9" s="662">
        <f>O9/$O$28</f>
        <v>1.4447100428373629E-3</v>
      </c>
      <c r="Q9" s="663" t="s">
        <v>379</v>
      </c>
      <c r="U9" s="551">
        <f>+U8+1</f>
        <v>6</v>
      </c>
      <c r="V9" s="670">
        <f>FR9</f>
        <v>6</v>
      </c>
      <c r="W9" s="660" t="s">
        <v>395</v>
      </c>
      <c r="X9" s="671">
        <f>SUM(FT9:FX9)</f>
        <v>296558.71764994744</v>
      </c>
      <c r="Y9" s="662">
        <f>SUM(FT9:FX9)/SUM($FT$28:$FX$28)</f>
        <v>3.0646073440721141E-3</v>
      </c>
      <c r="AC9" s="551">
        <f>+AC8+1</f>
        <v>6</v>
      </c>
      <c r="AD9" s="681">
        <v>6</v>
      </c>
      <c r="AE9" s="682" t="s">
        <v>395</v>
      </c>
      <c r="AF9" s="683">
        <v>6.16</v>
      </c>
      <c r="AP9" s="551">
        <f>+AP8+1</f>
        <v>6</v>
      </c>
      <c r="AQ9" s="697">
        <f>FR9</f>
        <v>6</v>
      </c>
      <c r="AR9" s="660" t="s">
        <v>395</v>
      </c>
      <c r="AS9" s="660">
        <f>VLOOKUP(AQ9,$AD$4:$AF$27,$AS$30,FALSE)</f>
        <v>6.16</v>
      </c>
      <c r="AT9" s="698">
        <f>L9</f>
        <v>4665890.8000932336</v>
      </c>
      <c r="AU9" s="698">
        <f>AT9*AS9/3600</f>
        <v>7983.8575912706438</v>
      </c>
      <c r="AV9" s="699">
        <f>AU9*$AL$5/$AU$28</f>
        <v>8241.9501629276456</v>
      </c>
      <c r="AW9" s="700">
        <f>$AL$6</f>
        <v>21.592508896755888</v>
      </c>
      <c r="AX9" s="671">
        <f>AV9*AW9</f>
        <v>177964.38221963382</v>
      </c>
      <c r="AY9" s="465">
        <f>AX9/$AX$28</f>
        <v>4.2259711411499219E-3</v>
      </c>
      <c r="AZ9" s="553">
        <f>IF($AT9=0,0,ROUND(IF(VLOOKUP(AQ9,$AQ$4:$AT$27,$AZ$30,FALSE)&lt;&gt;0,AX9/VLOOKUP(AQ9,$AQ$4:$AT$27,$AZ$30,FALSE)*100,""),6))</f>
        <v>3.8141569999999998</v>
      </c>
      <c r="BK9" s="222">
        <f>+BK8+1</f>
        <v>6</v>
      </c>
      <c r="BL9" s="663">
        <f>FR9</f>
        <v>6</v>
      </c>
      <c r="BM9" s="660" t="s">
        <v>395</v>
      </c>
      <c r="BN9" s="662">
        <f>VLOOKUP(BL9,$AQ$4:$AY$28,$BN$33,FALSE)</f>
        <v>4.2259711411499219E-3</v>
      </c>
      <c r="BO9" s="671">
        <f>BN9*$BO$28</f>
        <v>40513.172003725296</v>
      </c>
      <c r="BP9" s="662">
        <f>VLOOKUP(BL9,$J$4:$M$27,$BP$33,FALSE)</f>
        <v>2.1241773874439104E-3</v>
      </c>
      <c r="BQ9" s="671">
        <f>BP9*$BQ$28</f>
        <v>20363.87873688179</v>
      </c>
      <c r="BR9" s="710">
        <f>BQ9+BO9</f>
        <v>60877.050740607083</v>
      </c>
      <c r="BS9" s="711">
        <f>IF($AT9=0,0,ROUND(IF(VLOOKUP(BL9,$AQ$4:$AT$27,$AZ$30,FALSE)&lt;&gt;0,BR9/VLOOKUP(BL9,$AQ$4:$AT$27,$AZ$30,FALSE)*100,""),6))</f>
        <v>1.3047249999999999</v>
      </c>
      <c r="BW9" s="274">
        <v>6</v>
      </c>
      <c r="BX9" s="572" t="s">
        <v>71</v>
      </c>
      <c r="BY9" s="576">
        <f>SUM(BY4:BY8)</f>
        <v>1.0000000000000004</v>
      </c>
      <c r="BZ9" s="577">
        <f>'DCA 3 month Phase II'!C7</f>
        <v>25073716.728897151</v>
      </c>
      <c r="CA9" s="578"/>
      <c r="CB9" s="578"/>
      <c r="CC9" s="577">
        <f>SUM(CC4:CC8)</f>
        <v>5861738.7768834978</v>
      </c>
      <c r="CD9" s="577">
        <f>SUM(CD4:CD8)</f>
        <v>19211977.952013664</v>
      </c>
      <c r="CH9" s="222">
        <f>+CH8+1</f>
        <v>6</v>
      </c>
      <c r="CI9" s="681">
        <f>FR9</f>
        <v>6</v>
      </c>
      <c r="CJ9" s="660" t="s">
        <v>395</v>
      </c>
      <c r="CK9" s="723">
        <f>VLOOKUP(CI9,$J$4:$M$27,$CK$32,FALSE)</f>
        <v>2.1241773874439104E-3</v>
      </c>
      <c r="CL9" s="650">
        <f>CK9*$CL$28</f>
        <v>12451.372960959052</v>
      </c>
      <c r="CM9" s="723">
        <f>VLOOKUP(CI9,$J$4:$P$27,$CM$32,FALSE)</f>
        <v>1.4447100428373629E-3</v>
      </c>
      <c r="CN9" s="650">
        <f>CM9*$CN$28</f>
        <v>27755.737490044132</v>
      </c>
      <c r="CO9" s="650">
        <f>CN9+CL9</f>
        <v>40207.110451003187</v>
      </c>
      <c r="CP9" s="723">
        <f>CO9/$CO$28</f>
        <v>1.6035560617411366E-3</v>
      </c>
      <c r="CQ9" s="724">
        <f>IF($AT9=0,0,ROUND(IF(VLOOKUP(CI9,$AQ$4:$AT$27,$AZ$30,FALSE)&lt;&gt;0,CO9/VLOOKUP(CI9,$AQ$4:$AT$27,$AZ$30,FALSE)*100,""),6))</f>
        <v>0.86172400000000005</v>
      </c>
      <c r="DG9" s="551">
        <f>+DG8+1</f>
        <v>6</v>
      </c>
      <c r="DH9" s="677">
        <f>FR9</f>
        <v>6</v>
      </c>
      <c r="DI9" s="660" t="s">
        <v>395</v>
      </c>
      <c r="DJ9" s="723">
        <f>VLOOKUP(DH9,$CI$4:$CP$27,$DJ$33,FALSE)</f>
        <v>1.6035560617411366E-3</v>
      </c>
      <c r="DK9" s="650">
        <f>DJ9*$DK$28</f>
        <v>604.05112505611214</v>
      </c>
      <c r="DL9" s="723">
        <f>VLOOKUP(DH9,$J$4:$Q$27,$DL$33,FALSE)</f>
        <v>1.4447100428373629E-3</v>
      </c>
      <c r="DM9" s="650">
        <f>DL9*$DM$28</f>
        <v>3536.8459565792341</v>
      </c>
      <c r="DN9" s="723">
        <f>VLOOKUP(DH9,$J$4:$Q$27,$DN$33,FALSE)</f>
        <v>2.1241773874439104E-3</v>
      </c>
      <c r="DO9" s="650">
        <f>DN9*$DO$28</f>
        <v>7538.4166887239271</v>
      </c>
      <c r="DP9" s="650">
        <f>DK9+DM9+DO9</f>
        <v>11679.313770359273</v>
      </c>
      <c r="DQ9" s="723">
        <f>DP9/$DP$28</f>
        <v>1.8324245403899483E-3</v>
      </c>
      <c r="DR9" s="724">
        <f>IF($AT9=0,0,ROUND(IF(VLOOKUP(DH9,$AQ$4:$AT$27,$AZ$30,FALSE)&lt;&gt;0,DP9/VLOOKUP(DH9,$AQ$4:$AT$27,$AZ$30,FALSE)*100,""),6))</f>
        <v>0.25031300000000001</v>
      </c>
      <c r="DV9" s="551">
        <f>+DV8+1</f>
        <v>6</v>
      </c>
      <c r="DW9" s="677">
        <f>GG9</f>
        <v>6</v>
      </c>
      <c r="DX9" s="660" t="s">
        <v>395</v>
      </c>
      <c r="DY9" s="723">
        <f>VLOOKUP(DW9,$J$4:$Q$27,$DY$33,FALSE)</f>
        <v>1.4447100428373629E-3</v>
      </c>
      <c r="DZ9" s="650">
        <f>DY9*$DZ$28</f>
        <v>5830.8604683441381</v>
      </c>
      <c r="EA9" s="724">
        <f>IF($AT9=0,0,ROUND(IF(VLOOKUP(DW9,$AQ$4:$AT$27,$AZ$30,FALSE)&lt;&gt;0,DZ9/VLOOKUP(DW9,$AQ$4:$AT$27,$AZ$30,FALSE)*100,""),6))</f>
        <v>0.124968</v>
      </c>
      <c r="EG9" s="12" t="s">
        <v>427</v>
      </c>
      <c r="EM9" s="551">
        <f>+EM8+1</f>
        <v>6</v>
      </c>
      <c r="EN9" s="677">
        <f>FR9</f>
        <v>6</v>
      </c>
      <c r="EO9" s="660" t="s">
        <v>395</v>
      </c>
      <c r="EP9" s="723">
        <f>VLOOKUP(EN9,$V$4:$Y$27,$EP$33,FALSE)</f>
        <v>3.0646073440721141E-3</v>
      </c>
      <c r="EQ9" s="650">
        <f>EP9*$EQ$28</f>
        <v>24114.682785327968</v>
      </c>
      <c r="ER9" s="723">
        <f>VLOOKUP(EN9,$CI$4:$CP$27,$ER$33,FALSE)</f>
        <v>1.6035560617411366E-3</v>
      </c>
      <c r="ES9" s="650">
        <f>ER9*$ES$28</f>
        <v>1628.7737185439569</v>
      </c>
      <c r="ET9" s="723">
        <f>VLOOKUP(EN9,$J$4:$M$27,$ET$33,FALSE)</f>
        <v>2.1241773874439104E-3</v>
      </c>
      <c r="EU9" s="650">
        <f>ET9*$EU$28</f>
        <v>9133.5089204253145</v>
      </c>
      <c r="EV9" s="650">
        <f>EQ9+ES9+EU9</f>
        <v>34876.965424297239</v>
      </c>
      <c r="EW9" s="723">
        <f>EV9/$EV$28</f>
        <v>2.6453447225317033E-3</v>
      </c>
      <c r="EX9" s="724">
        <f>IF($AT9=0,0,ROUND(IF(VLOOKUP(EN9,$AQ$4:$AT$27,$AZ$30,FALSE)&lt;&gt;0,EV9/VLOOKUP(EN9,$AQ$4:$AT$27,$AZ$30,FALSE)*100,""),6))</f>
        <v>0.74748800000000004</v>
      </c>
      <c r="FH9" s="551">
        <f>+FH8+1</f>
        <v>6</v>
      </c>
      <c r="FI9" s="670">
        <f>FR9</f>
        <v>6</v>
      </c>
      <c r="FJ9" s="660" t="s">
        <v>395</v>
      </c>
      <c r="FK9" s="723">
        <f>Y9</f>
        <v>3.0646073440721141E-3</v>
      </c>
      <c r="FL9" s="650">
        <f>Y9*$FL$28</f>
        <v>60491.69216997749</v>
      </c>
      <c r="FM9" s="724">
        <f>IF($AT9=0,0,ROUND(IF(VLOOKUP(FI9,$AQ$4:$AT$27,$AZ$30,FALSE)&lt;&gt;0,FL9/VLOOKUP(FI9,$AQ$4:$AT$27,$AZ$30,FALSE)*100,""),6))</f>
        <v>1.2964659999999999</v>
      </c>
      <c r="FQ9" s="222">
        <v>6</v>
      </c>
      <c r="FR9" s="670">
        <v>6</v>
      </c>
      <c r="FS9" s="660" t="s">
        <v>395</v>
      </c>
      <c r="FT9" s="650">
        <f>VLOOKUP(FR9,$AQ$4:$AZ$27,$FT$33,FALSE)</f>
        <v>177964.38221963382</v>
      </c>
      <c r="FU9" s="650">
        <f>VLOOKUP(FR9,$BL$4:$BS$86,$FU$33,FALSE)</f>
        <v>60877.050740607083</v>
      </c>
      <c r="FV9" s="650">
        <f>VLOOKUP(FR9,$CI$4:$CQ$27,$FV$33,FALSE)</f>
        <v>40207.110451003187</v>
      </c>
      <c r="FW9" s="650">
        <f>VLOOKUP(FR9,$DH$4:$DP$27,$FW$33,FALSE)</f>
        <v>11679.313770359273</v>
      </c>
      <c r="FX9" s="650">
        <f>VLOOKUP(FR9,$DW$4:$EA$27,$FX$33,FALSE)</f>
        <v>5830.8604683441381</v>
      </c>
      <c r="FY9" s="650">
        <f>VLOOKUP(FR9,$EN$4:$EV$28,$FY$34,FALSE)</f>
        <v>34876.965424297239</v>
      </c>
      <c r="FZ9" s="650">
        <f>VLOOKUP(FR9,$FI$4:$FL$27,$FZ$33,FALSE)</f>
        <v>60491.69216997749</v>
      </c>
      <c r="GA9" s="650">
        <f>SUM(FT9:FZ9)</f>
        <v>391927.37524422217</v>
      </c>
      <c r="GB9" s="747">
        <f>IF($AT9=0,0,ROUND(IF(VLOOKUP(FR9,$AQ$4:$AT$27,$AZ$30,FALSE)&lt;&gt;0,GA9/VLOOKUP(FR9,$AQ$4:$AT$27,$AZ$30,FALSE)*100,""),6))</f>
        <v>8.3998399999999993</v>
      </c>
      <c r="GF9" s="551">
        <f>+GF8+1</f>
        <v>6</v>
      </c>
      <c r="GG9" s="670">
        <f>FR9</f>
        <v>6</v>
      </c>
      <c r="GH9" s="660" t="s">
        <v>395</v>
      </c>
      <c r="GI9" s="724">
        <f>VLOOKUP(GG9,$AQ$4:$AZ$27,$GI$31,FALSE)</f>
        <v>3.8141569999999998</v>
      </c>
      <c r="GJ9" s="724">
        <f>VLOOKUP(GG9,$BL$4:$BS$27,$GJ$31,FALSE)</f>
        <v>1.3047249999999999</v>
      </c>
      <c r="GK9" s="724">
        <f>VLOOKUP(GG9,$CI$4:$CQ$27,$GK$31,FALSE)</f>
        <v>0.86172400000000005</v>
      </c>
      <c r="GL9" s="724">
        <f>VLOOKUP(GG9,$DH$4:$DR$27,$GL$31,FALSE)</f>
        <v>0.25031300000000001</v>
      </c>
      <c r="GM9" s="724">
        <f>VLOOKUP(GG9,$DW$4:$EA$27,$GM$31,FALSE)</f>
        <v>0.124968</v>
      </c>
      <c r="GN9" s="724">
        <f>VLOOKUP(GG9,$EN$4:$EX$28,$GN$31,FALSE)</f>
        <v>0.74748800000000004</v>
      </c>
      <c r="GO9" s="724">
        <f>VLOOKUP(GG9,$FI$4:$FM$27,$GO$31,FALSE)</f>
        <v>1.2964659999999999</v>
      </c>
      <c r="GP9" s="724">
        <f>VLOOKUP(GG9,$FR$4:$GB$27,$GP$31,FALSE)</f>
        <v>8.3998399999999993</v>
      </c>
      <c r="GQ9" s="661">
        <f>L9</f>
        <v>4665890.8000932336</v>
      </c>
      <c r="GR9" s="530"/>
      <c r="GU9" s="222">
        <f>+GU8+1</f>
        <v>6</v>
      </c>
      <c r="GV9" s="670">
        <f>FR9</f>
        <v>6</v>
      </c>
      <c r="GW9" s="660" t="s">
        <v>395</v>
      </c>
      <c r="GX9" s="663" t="s">
        <v>379</v>
      </c>
      <c r="GY9" s="671">
        <f>GA9</f>
        <v>391927.37524422217</v>
      </c>
      <c r="GZ9" s="661">
        <f>VLOOKUP(GV9,$GG$4:$GQ$27,$GZ$34,FALSE)</f>
        <v>4665890.8000932336</v>
      </c>
      <c r="HA9" s="724">
        <f>IF(GW9="Specialty Containers",$HA$31,ROUND(IF(GZ9&lt;&gt;0,GY9/GZ9*100,0),6))</f>
        <v>8.3998399999999993</v>
      </c>
      <c r="HB9" s="650">
        <f>ROUND(HA9,10)*GZ9/100</f>
        <v>391927.36178255139</v>
      </c>
      <c r="HC9" s="750">
        <f>HB9-GY9</f>
        <v>-1.3461670780088753E-2</v>
      </c>
      <c r="HD9" s="549"/>
      <c r="HG9" s="549"/>
      <c r="HH9" s="549"/>
      <c r="HI9" s="549"/>
      <c r="HJ9" s="549"/>
      <c r="HK9" s="549"/>
      <c r="HL9" s="549"/>
      <c r="HM9" s="549"/>
      <c r="HP9" s="551">
        <f>+HP8+1</f>
        <v>6</v>
      </c>
      <c r="HQ9" s="762">
        <f>FR9</f>
        <v>6</v>
      </c>
      <c r="HR9" s="660" t="s">
        <v>395</v>
      </c>
      <c r="HS9" s="661">
        <f>L9</f>
        <v>4665890.8000932336</v>
      </c>
      <c r="HT9" s="757">
        <f>HA9</f>
        <v>8.3998399999999993</v>
      </c>
      <c r="HU9" s="757">
        <v>7.3521840000000003</v>
      </c>
      <c r="HV9" s="651">
        <f>IF(HU9&lt;&gt;0,HT9/HU9-1,"")</f>
        <v>0.14249588965673321</v>
      </c>
      <c r="HW9" s="757">
        <f>HT9-HU9</f>
        <v>1.047655999999999</v>
      </c>
      <c r="HX9" s="652">
        <v>10</v>
      </c>
      <c r="IO9" s="551">
        <v>6</v>
      </c>
      <c r="IP9" s="762">
        <v>6</v>
      </c>
      <c r="IQ9" s="660" t="s">
        <v>395</v>
      </c>
      <c r="IR9" s="772">
        <f>GY9</f>
        <v>391927.37524422217</v>
      </c>
      <c r="IS9" s="773">
        <f>GZ9</f>
        <v>4665890.8000932336</v>
      </c>
      <c r="IT9" s="774">
        <f>HA9</f>
        <v>8.3998399999999993</v>
      </c>
      <c r="IU9" s="661">
        <f>IS9*$IJ$4/(1-$IK$4)</f>
        <v>682017.32039244834</v>
      </c>
      <c r="IV9" s="661">
        <f>IS9-IU9</f>
        <v>3983873.4797007851</v>
      </c>
      <c r="IW9" s="772">
        <f>IU9*$IH$4</f>
        <v>10230.259805886724</v>
      </c>
      <c r="IX9" s="772">
        <f>IR9-IW9</f>
        <v>381697.11543833546</v>
      </c>
      <c r="IY9" s="455">
        <f>IX9/IS9*100</f>
        <v>8.1805839826064606</v>
      </c>
      <c r="IZ9" s="555">
        <f>IY9+1.5</f>
        <v>9.6805839826064606</v>
      </c>
      <c r="JA9" s="772">
        <f>(IY9*IV9+IZ9*IU9)/100</f>
        <v>391927.37524422223</v>
      </c>
      <c r="JB9" s="778">
        <f>IT9-IY9</f>
        <v>0.21925601739353873</v>
      </c>
      <c r="JF9" s="551">
        <f>+JF8+1</f>
        <v>6</v>
      </c>
      <c r="JG9" s="762">
        <f>FR9</f>
        <v>6</v>
      </c>
      <c r="JH9" s="660" t="s">
        <v>395</v>
      </c>
      <c r="JI9" s="661">
        <f>L9</f>
        <v>4665890.8000932336</v>
      </c>
      <c r="JJ9" s="757">
        <f>IY9</f>
        <v>8.1805839826064606</v>
      </c>
      <c r="JK9" s="757">
        <v>7.129950632713701</v>
      </c>
      <c r="JL9" s="651">
        <f>IF(JK9&lt;&gt;0,JJ9/JK9-1,"")</f>
        <v>0.1473549262840943</v>
      </c>
      <c r="JM9" s="757">
        <f>JJ9-JK9</f>
        <v>1.0506333498927596</v>
      </c>
      <c r="JN9" s="652">
        <v>10</v>
      </c>
      <c r="JS9" s="757">
        <v>8.1980025538460239</v>
      </c>
      <c r="JT9" s="757">
        <f>JJ9-JS9</f>
        <v>-1.7418571239563363E-2</v>
      </c>
      <c r="JU9" s="1010">
        <v>4852924</v>
      </c>
      <c r="JV9" s="1010">
        <f>JU9-JI9</f>
        <v>187033.19990676641</v>
      </c>
      <c r="JW9" s="1069">
        <f>JT9/JS9</f>
        <v>-2.1247335707881166E-3</v>
      </c>
      <c r="JX9" s="997">
        <v>397842.8334562066</v>
      </c>
      <c r="JY9" s="997">
        <f>JI9*JJ9/100</f>
        <v>381697.11543833546</v>
      </c>
      <c r="JZ9" s="516"/>
      <c r="KA9" s="516"/>
      <c r="KB9" s="997"/>
      <c r="KC9" s="516"/>
      <c r="KE9" s="516"/>
      <c r="KF9" s="516"/>
    </row>
    <row r="10" spans="1:292" ht="16.5" x14ac:dyDescent="0.3">
      <c r="A10" s="543">
        <v>7</v>
      </c>
      <c r="B10" s="645" t="s">
        <v>53</v>
      </c>
      <c r="C10" s="646">
        <f>'DCA 3 month Phase I'!MC20</f>
        <v>13184279.964434486</v>
      </c>
      <c r="D10" s="647">
        <f>C10/$C$13</f>
        <v>0.10165510613534288</v>
      </c>
      <c r="E10" s="986">
        <v>0.60022299213736274</v>
      </c>
      <c r="I10" s="543">
        <f>+I9+1</f>
        <v>7</v>
      </c>
      <c r="J10" s="654">
        <f>FR10</f>
        <v>7</v>
      </c>
      <c r="K10" s="655" t="s">
        <v>396</v>
      </c>
      <c r="L10" s="991">
        <v>37185392.287647843</v>
      </c>
      <c r="M10" s="657">
        <f>L10/$L$28</f>
        <v>1.6928893715016734E-2</v>
      </c>
      <c r="N10" s="656">
        <v>892</v>
      </c>
      <c r="O10" s="656">
        <f>IFERROR(L10/N10,0)</f>
        <v>41687.659515300271</v>
      </c>
      <c r="P10" s="657">
        <f>O10/$O$28</f>
        <v>2.3363193681453731E-2</v>
      </c>
      <c r="Q10" s="658" t="s">
        <v>379</v>
      </c>
      <c r="U10" s="545">
        <f>+U9+1</f>
        <v>7</v>
      </c>
      <c r="V10" s="669">
        <f>FR10</f>
        <v>7</v>
      </c>
      <c r="W10" s="655" t="s">
        <v>396</v>
      </c>
      <c r="X10" s="646">
        <f>SUM(FT10:FX10)</f>
        <v>2309560.5392157924</v>
      </c>
      <c r="Y10" s="657">
        <f>SUM(FT10:FX10)/SUM($FT$28:$FX$28)</f>
        <v>2.3866761517408807E-2</v>
      </c>
      <c r="AC10" s="545">
        <f>+AC9+1</f>
        <v>7</v>
      </c>
      <c r="AD10" s="678">
        <v>7</v>
      </c>
      <c r="AE10" s="679" t="s">
        <v>396</v>
      </c>
      <c r="AF10" s="680">
        <v>4.88</v>
      </c>
      <c r="AP10" s="545">
        <f>+AP9+1</f>
        <v>7</v>
      </c>
      <c r="AQ10" s="693">
        <f>FR10</f>
        <v>7</v>
      </c>
      <c r="AR10" s="655" t="s">
        <v>396</v>
      </c>
      <c r="AS10" s="655">
        <f>VLOOKUP(AQ10,$AD$4:$AF$27,$AS$30,FALSE)</f>
        <v>4.88</v>
      </c>
      <c r="AT10" s="694">
        <f>L10</f>
        <v>37185392.287647843</v>
      </c>
      <c r="AU10" s="694">
        <f>AT10*AS10/3600</f>
        <v>50406.865101033742</v>
      </c>
      <c r="AV10" s="695">
        <f>AU10*$AL$5/$AU$28</f>
        <v>52036.357773512995</v>
      </c>
      <c r="AW10" s="696">
        <f>$AL$6</f>
        <v>21.592508896755888</v>
      </c>
      <c r="AX10" s="646">
        <f>AV10*AW10</f>
        <v>1123595.5181793517</v>
      </c>
      <c r="AY10" s="544">
        <f>AX10/$AX$28</f>
        <v>2.6681081770009829E-2</v>
      </c>
      <c r="AZ10" s="548">
        <f>IF($AT10=0,0,ROUND(IF(VLOOKUP(AQ10,$AQ$4:$AT$27,$AZ$30,FALSE)&lt;&gt;0,AX10/VLOOKUP(AQ10,$AQ$4:$AT$27,$AZ$30,FALSE)*100,""),6))</f>
        <v>3.0216050000000001</v>
      </c>
      <c r="BK10" s="543">
        <f>+BK9+1</f>
        <v>7</v>
      </c>
      <c r="BL10" s="658">
        <f>FR10</f>
        <v>7</v>
      </c>
      <c r="BM10" s="655" t="s">
        <v>396</v>
      </c>
      <c r="BN10" s="657">
        <f>VLOOKUP(BL10,$AQ$4:$AY$28,$BN$33,FALSE)</f>
        <v>2.6681081770009829E-2</v>
      </c>
      <c r="BO10" s="646">
        <f>BN10*$BO$28</f>
        <v>255783.87047379036</v>
      </c>
      <c r="BP10" s="657">
        <f>VLOOKUP(BL10,$J$4:$M$27,$BP$33,FALSE)</f>
        <v>1.6928893715016734E-2</v>
      </c>
      <c r="BQ10" s="646">
        <f>BP10*$BQ$28</f>
        <v>162292.44355952545</v>
      </c>
      <c r="BR10" s="708">
        <f>BQ10+BO10</f>
        <v>418076.31403331581</v>
      </c>
      <c r="BS10" s="709">
        <f>IF($AT10=0,0,ROUND(IF(VLOOKUP(BL10,$AQ$4:$AT$27,$AZ$30,FALSE)&lt;&gt;0,BR10/VLOOKUP(BL10,$AQ$4:$AT$27,$AZ$30,FALSE)*100,""),6))</f>
        <v>1.1243030000000001</v>
      </c>
      <c r="BV10" s="15"/>
      <c r="BW10" s="190"/>
      <c r="BX10" s="190"/>
      <c r="BY10" s="190"/>
      <c r="BZ10" s="190"/>
      <c r="CA10" s="190"/>
      <c r="CB10" s="190"/>
      <c r="CC10" s="190"/>
      <c r="CD10" s="190"/>
      <c r="CH10" s="543">
        <f>+CH9+1</f>
        <v>7</v>
      </c>
      <c r="CI10" s="678">
        <f>FR10</f>
        <v>7</v>
      </c>
      <c r="CJ10" s="655" t="s">
        <v>396</v>
      </c>
      <c r="CK10" s="657">
        <f>VLOOKUP(CI10,$J$4:$M$27,$CK$32,FALSE)</f>
        <v>1.6928893715016734E-2</v>
      </c>
      <c r="CL10" s="646">
        <f>CK10*$CL$28</f>
        <v>99232.752739052929</v>
      </c>
      <c r="CM10" s="657">
        <f>VLOOKUP(CI10,$J$4:$P$27,$CM$32,FALSE)</f>
        <v>2.3363193681453731E-2</v>
      </c>
      <c r="CN10" s="646">
        <f>CM10*$CN$28</f>
        <v>448853.16189671401</v>
      </c>
      <c r="CO10" s="646">
        <f>CN10+CL10</f>
        <v>548085.914635767</v>
      </c>
      <c r="CP10" s="657">
        <f>CO10/$CO$28</f>
        <v>2.1858981680370683E-2</v>
      </c>
      <c r="CQ10" s="709">
        <f>IF($AT10=0,0,ROUND(IF(VLOOKUP(CI10,$AQ$4:$AT$27,$AZ$30,FALSE)&lt;&gt;0,CO10/VLOOKUP(CI10,$AQ$4:$AT$27,$AZ$30,FALSE)*100,""),6))</f>
        <v>1.4739279999999999</v>
      </c>
      <c r="DC10" s="411"/>
      <c r="DD10" s="15"/>
      <c r="DG10" s="545">
        <f>+DG9+1</f>
        <v>7</v>
      </c>
      <c r="DH10" s="739">
        <f>FR10</f>
        <v>7</v>
      </c>
      <c r="DI10" s="655" t="s">
        <v>396</v>
      </c>
      <c r="DJ10" s="657">
        <f>VLOOKUP(DH10,$CI$4:$CP$27,$DJ$33,FALSE)</f>
        <v>2.1858981680370683E-2</v>
      </c>
      <c r="DK10" s="646">
        <f>DJ10*$DK$28</f>
        <v>8234.1633021997695</v>
      </c>
      <c r="DL10" s="657">
        <f>VLOOKUP(DH10,$J$4:$Q$27,$DL$33,FALSE)</f>
        <v>2.3363193681453731E-2</v>
      </c>
      <c r="DM10" s="646">
        <f>DL10*$DM$28</f>
        <v>57196.264063299917</v>
      </c>
      <c r="DN10" s="657">
        <f>VLOOKUP(DH10,$J$4:$Q$27,$DN$33,FALSE)</f>
        <v>1.6928893715016734E-2</v>
      </c>
      <c r="DO10" s="646">
        <f>DN10*$DO$28</f>
        <v>60078.341694655443</v>
      </c>
      <c r="DP10" s="646">
        <f>DK10+DM10+DO10</f>
        <v>125508.76906015513</v>
      </c>
      <c r="DQ10" s="657">
        <f>DP10/$DP$28</f>
        <v>1.96916833456122E-2</v>
      </c>
      <c r="DR10" s="709">
        <f>IF($AT10=0,0,ROUND(IF(VLOOKUP(DH10,$AQ$4:$AT$27,$AZ$30,FALSE)&lt;&gt;0,DP10/VLOOKUP(DH10,$AQ$4:$AT$27,$AZ$30,FALSE)*100,""),6))</f>
        <v>0.33752199999999999</v>
      </c>
      <c r="DV10" s="545">
        <f>+DV9+1</f>
        <v>7</v>
      </c>
      <c r="DW10" s="739">
        <f>GG10</f>
        <v>7</v>
      </c>
      <c r="DX10" s="655" t="s">
        <v>396</v>
      </c>
      <c r="DY10" s="657">
        <f>VLOOKUP(DW10,$J$4:$Q$27,$DY$33,FALSE)</f>
        <v>2.3363193681453731E-2</v>
      </c>
      <c r="DZ10" s="646">
        <f>DY10*$DZ$28</f>
        <v>94294.023307202704</v>
      </c>
      <c r="EA10" s="709">
        <f>IF($AT10=0,0,ROUND(IF(VLOOKUP(DW10,$AQ$4:$AT$27,$AZ$30,FALSE)&lt;&gt;0,DZ10/VLOOKUP(DW10,$AQ$4:$AT$27,$AZ$30,FALSE)*100,""),6))</f>
        <v>0.25357800000000003</v>
      </c>
      <c r="EG10" s="16"/>
      <c r="EH10" s="16"/>
      <c r="EI10" s="16"/>
      <c r="EM10" s="545">
        <f>+EM9+1</f>
        <v>7</v>
      </c>
      <c r="EN10" s="739">
        <f>FR10</f>
        <v>7</v>
      </c>
      <c r="EO10" s="655" t="s">
        <v>396</v>
      </c>
      <c r="EP10" s="657">
        <f>VLOOKUP(EN10,$V$4:$Y$27,$EP$33,FALSE)</f>
        <v>2.3866761517408807E-2</v>
      </c>
      <c r="EQ10" s="646">
        <f>EP10*$EQ$28</f>
        <v>187801.99826207917</v>
      </c>
      <c r="ER10" s="657">
        <f>VLOOKUP(EN10,$CI$4:$CP$27,$ER$33,FALSE)</f>
        <v>2.1858981680370683E-2</v>
      </c>
      <c r="ES10" s="646">
        <f>ER10*$ES$28</f>
        <v>22202.737855303661</v>
      </c>
      <c r="ET10" s="657">
        <f>VLOOKUP(EN10,$J$4:$M$27,$ET$33,FALSE)</f>
        <v>1.6928893715016734E-2</v>
      </c>
      <c r="EU10" s="646">
        <f>ET10*$EU$28</f>
        <v>72790.625996210583</v>
      </c>
      <c r="EV10" s="646">
        <f>EQ10+ES10+EU10</f>
        <v>282795.36211359338</v>
      </c>
      <c r="EW10" s="657">
        <f>EV10/$EV$28</f>
        <v>2.1449435454681906E-2</v>
      </c>
      <c r="EX10" s="709">
        <f>IF($AT10=0,0,ROUND(IF(VLOOKUP(EN10,$AQ$4:$AT$27,$AZ$30,FALSE)&lt;&gt;0,EV10/VLOOKUP(EN10,$AQ$4:$AT$27,$AZ$30,FALSE)*100,""),6))</f>
        <v>0.76050099999999998</v>
      </c>
      <c r="FH10" s="545">
        <f>+FH9+1</f>
        <v>7</v>
      </c>
      <c r="FI10" s="669">
        <f>FR10</f>
        <v>7</v>
      </c>
      <c r="FJ10" s="655" t="s">
        <v>396</v>
      </c>
      <c r="FK10" s="657">
        <f>Y10</f>
        <v>2.3866761517408807E-2</v>
      </c>
      <c r="FL10" s="646">
        <f>Y10*$FL$28</f>
        <v>471101.39365749207</v>
      </c>
      <c r="FM10" s="709">
        <f>IF($AT10=0,0,ROUND(IF(VLOOKUP(FI10,$AQ$4:$AT$27,$AZ$30,FALSE)&lt;&gt;0,FL10/VLOOKUP(FI10,$AQ$4:$AT$27,$AZ$30,FALSE)*100,""),6))</f>
        <v>1.266899</v>
      </c>
      <c r="FQ10" s="543">
        <v>7</v>
      </c>
      <c r="FR10" s="669">
        <v>7</v>
      </c>
      <c r="FS10" s="655" t="s">
        <v>396</v>
      </c>
      <c r="FT10" s="646">
        <f>VLOOKUP(FR10,$AQ$4:$AZ$27,$FT$33,FALSE)</f>
        <v>1123595.5181793517</v>
      </c>
      <c r="FU10" s="646">
        <f>VLOOKUP(FR10,$BL$4:$BS$86,$FU$33,FALSE)</f>
        <v>418076.31403331581</v>
      </c>
      <c r="FV10" s="646">
        <f>VLOOKUP(FR10,$CI$4:$CQ$27,$FV$33,FALSE)</f>
        <v>548085.914635767</v>
      </c>
      <c r="FW10" s="646">
        <f>VLOOKUP(FR10,$DH$4:$DP$27,$FW$33,FALSE)</f>
        <v>125508.76906015513</v>
      </c>
      <c r="FX10" s="646">
        <f>VLOOKUP(FR10,$DW$4:$EA$27,$FX$33,FALSE)</f>
        <v>94294.023307202704</v>
      </c>
      <c r="FY10" s="646">
        <f>VLOOKUP(FR10,$EN$4:$EV$28,$FY$34,FALSE)</f>
        <v>282795.36211359338</v>
      </c>
      <c r="FZ10" s="646">
        <f>VLOOKUP(FR10,$FI$4:$FL$27,$FZ$33,FALSE)</f>
        <v>471101.39365749207</v>
      </c>
      <c r="GA10" s="646">
        <f>SUM(FT10:FZ10)</f>
        <v>3063457.2949868781</v>
      </c>
      <c r="GB10" s="746">
        <f>IF($AT10=0,0,ROUND(IF(VLOOKUP(FR10,$AQ$4:$AT$27,$AZ$30,FALSE)&lt;&gt;0,GA10/VLOOKUP(FR10,$AQ$4:$AT$27,$AZ$30,FALSE)*100,""),6))</f>
        <v>8.2383349999999993</v>
      </c>
      <c r="GF10" s="545">
        <f>+GF9+1</f>
        <v>7</v>
      </c>
      <c r="GG10" s="669">
        <f>FR10</f>
        <v>7</v>
      </c>
      <c r="GH10" s="655" t="s">
        <v>396</v>
      </c>
      <c r="GI10" s="709">
        <f>VLOOKUP(GG10,$AQ$4:$AZ$27,$GI$31,FALSE)</f>
        <v>3.0216050000000001</v>
      </c>
      <c r="GJ10" s="709">
        <f>VLOOKUP(GG10,$BL$4:$BS$27,$GJ$31,FALSE)</f>
        <v>1.1243030000000001</v>
      </c>
      <c r="GK10" s="709">
        <f>VLOOKUP(GG10,$CI$4:$CQ$27,$GK$31,FALSE)</f>
        <v>1.4739279999999999</v>
      </c>
      <c r="GL10" s="709">
        <f>VLOOKUP(GG10,$DH$4:$DR$27,$GL$31,FALSE)</f>
        <v>0.33752199999999999</v>
      </c>
      <c r="GM10" s="709">
        <f>VLOOKUP(GG10,$DW$4:$EA$27,$GM$31,FALSE)</f>
        <v>0.25357800000000003</v>
      </c>
      <c r="GN10" s="709">
        <f>VLOOKUP(GG10,$EN$4:$EX$28,$GN$31,FALSE)</f>
        <v>0.76050099999999998</v>
      </c>
      <c r="GO10" s="709">
        <f>VLOOKUP(GG10,$FI$4:$FM$27,$GO$31,FALSE)</f>
        <v>1.266899</v>
      </c>
      <c r="GP10" s="709">
        <f>VLOOKUP(GG10,$FR$4:$GB$27,$GP$31,FALSE)</f>
        <v>8.2383349999999993</v>
      </c>
      <c r="GQ10" s="656">
        <f>L10</f>
        <v>37185392.287647843</v>
      </c>
      <c r="GR10" s="530"/>
      <c r="GU10" s="543">
        <f>+GU9+1</f>
        <v>7</v>
      </c>
      <c r="GV10" s="669">
        <f>FR10</f>
        <v>7</v>
      </c>
      <c r="GW10" s="655" t="s">
        <v>396</v>
      </c>
      <c r="GX10" s="658" t="s">
        <v>379</v>
      </c>
      <c r="GY10" s="646">
        <f>GA10</f>
        <v>3063457.2949868781</v>
      </c>
      <c r="GZ10" s="656">
        <f>VLOOKUP(GV10,$GG$4:$GQ$27,$GZ$34,FALSE)</f>
        <v>37185392.287647843</v>
      </c>
      <c r="HA10" s="709">
        <f>IF(GW10="Specialty Containers",$HA$31,ROUND(IF(GZ10&lt;&gt;0,GY10/GZ10*100,0),6))</f>
        <v>8.2383349999999993</v>
      </c>
      <c r="HB10" s="646">
        <f>ROUND(HA10,10)*GZ10/100</f>
        <v>3063457.1877205926</v>
      </c>
      <c r="HC10" s="749">
        <f>HB10-GY10</f>
        <v>-0.10726628545671701</v>
      </c>
      <c r="HD10" s="549"/>
      <c r="HG10" s="549"/>
      <c r="HH10" s="549"/>
      <c r="HI10" s="549"/>
      <c r="HJ10" s="549"/>
      <c r="HK10" s="549"/>
      <c r="HL10" s="549"/>
      <c r="HM10" s="549"/>
      <c r="HP10" s="545">
        <f>+HP9+1</f>
        <v>7</v>
      </c>
      <c r="HQ10" s="761">
        <f>FR10</f>
        <v>7</v>
      </c>
      <c r="HR10" s="655" t="s">
        <v>396</v>
      </c>
      <c r="HS10" s="656">
        <f>L10</f>
        <v>37185392.287647843</v>
      </c>
      <c r="HT10" s="756">
        <f>HA10</f>
        <v>8.2383349999999993</v>
      </c>
      <c r="HU10" s="756">
        <v>7.2431219999999996</v>
      </c>
      <c r="HV10" s="647">
        <f>IF(HU10&lt;&gt;0,HT10/HU10-1,"")</f>
        <v>0.13740110963200669</v>
      </c>
      <c r="HW10" s="756">
        <f>HT10-HU10</f>
        <v>0.99521299999999968</v>
      </c>
      <c r="HX10" s="648">
        <v>10</v>
      </c>
      <c r="IO10" s="545">
        <v>7</v>
      </c>
      <c r="IP10" s="761">
        <v>7</v>
      </c>
      <c r="IQ10" s="655" t="s">
        <v>396</v>
      </c>
      <c r="IR10" s="769">
        <f>GY10</f>
        <v>3063457.2949868781</v>
      </c>
      <c r="IS10" s="770">
        <f>GZ10</f>
        <v>37185392.287647843</v>
      </c>
      <c r="IT10" s="771">
        <f>HA10</f>
        <v>8.2383349999999993</v>
      </c>
      <c r="IU10" s="656">
        <f>IS10*$IJ$4/(1-$IK$4)</f>
        <v>5435421.1644337736</v>
      </c>
      <c r="IV10" s="656">
        <f>IS10-IU10</f>
        <v>31749971.12321407</v>
      </c>
      <c r="IW10" s="769">
        <f>IU10*$IH$4</f>
        <v>81531.317466506604</v>
      </c>
      <c r="IX10" s="769">
        <f>IR10-IW10</f>
        <v>2981925.9775203713</v>
      </c>
      <c r="IY10" s="550">
        <f>IX10/IS10*100</f>
        <v>8.0190789825576232</v>
      </c>
      <c r="IZ10" s="550">
        <f>IY10+1.5</f>
        <v>9.5190789825576232</v>
      </c>
      <c r="JA10" s="769">
        <f>(IY10*IV10+IZ10*IU10)/100</f>
        <v>3063457.2949868781</v>
      </c>
      <c r="JB10" s="746">
        <f>IT10-IY10</f>
        <v>0.21925601744237611</v>
      </c>
      <c r="JF10" s="545">
        <f>+JF9+1</f>
        <v>7</v>
      </c>
      <c r="JG10" s="761">
        <f>FR10</f>
        <v>7</v>
      </c>
      <c r="JH10" s="655" t="s">
        <v>396</v>
      </c>
      <c r="JI10" s="656">
        <f>L10</f>
        <v>37185392.287647843</v>
      </c>
      <c r="JJ10" s="756">
        <f>IY10</f>
        <v>8.0190789825576232</v>
      </c>
      <c r="JK10" s="756">
        <v>7.0208891708348835</v>
      </c>
      <c r="JL10" s="647">
        <f>IF(JK10&lt;&gt;0,JJ10/JK10-1,"")</f>
        <v>0.14217427272164751</v>
      </c>
      <c r="JM10" s="756">
        <f>JJ10-JK10</f>
        <v>0.99818981172273968</v>
      </c>
      <c r="JN10" s="648">
        <v>10</v>
      </c>
      <c r="JS10" s="756">
        <v>8.0410158653363322</v>
      </c>
      <c r="JT10" s="756">
        <f>JJ10-JS10</f>
        <v>-2.1936882778708977E-2</v>
      </c>
      <c r="JU10" s="1009">
        <v>36519236</v>
      </c>
      <c r="JV10" s="1009">
        <f>JU10-JI10</f>
        <v>-666156.28764784336</v>
      </c>
      <c r="JW10" s="1069">
        <f>JT10/JS10</f>
        <v>-2.7281233050758845E-3</v>
      </c>
      <c r="JX10" s="997">
        <v>2936517.5606596172</v>
      </c>
      <c r="JY10" s="997">
        <f>JI10*JJ10/100</f>
        <v>2981925.9775203718</v>
      </c>
      <c r="JZ10" s="516"/>
      <c r="KA10" s="516"/>
      <c r="KB10" s="997"/>
      <c r="KC10" s="516"/>
      <c r="KE10" s="516"/>
      <c r="KF10" s="516"/>
    </row>
    <row r="11" spans="1:292" ht="16.5" x14ac:dyDescent="0.3">
      <c r="A11" s="222">
        <v>8</v>
      </c>
      <c r="B11" s="649" t="s">
        <v>232</v>
      </c>
      <c r="C11" s="650">
        <f>'DCA 3 month Phase I'!MC23</f>
        <v>20074431.714334965</v>
      </c>
      <c r="D11" s="651">
        <f>C11/$C$13</f>
        <v>0.15478042729919719</v>
      </c>
      <c r="E11" s="986">
        <v>0.91362793435053979</v>
      </c>
      <c r="I11" s="222">
        <f>+I10+1</f>
        <v>8</v>
      </c>
      <c r="J11" s="659">
        <f>FR11</f>
        <v>8</v>
      </c>
      <c r="K11" s="660" t="s">
        <v>397</v>
      </c>
      <c r="L11" s="991">
        <v>24396504.156589579</v>
      </c>
      <c r="M11" s="662">
        <f>L11/$L$28</f>
        <v>1.1106668518918925E-2</v>
      </c>
      <c r="N11" s="661">
        <v>357</v>
      </c>
      <c r="O11" s="661">
        <f>IFERROR(L11/N11,0)</f>
        <v>68337.546657113664</v>
      </c>
      <c r="P11" s="662">
        <f>O11/$O$28</f>
        <v>3.829870414479726E-2</v>
      </c>
      <c r="Q11" s="663" t="s">
        <v>379</v>
      </c>
      <c r="U11" s="551">
        <f>+U10+1</f>
        <v>8</v>
      </c>
      <c r="V11" s="670">
        <f>FR11</f>
        <v>8</v>
      </c>
      <c r="W11" s="660" t="s">
        <v>397</v>
      </c>
      <c r="X11" s="671">
        <f>SUM(FT11:FX11)</f>
        <v>2916976.0098509798</v>
      </c>
      <c r="Y11" s="662">
        <f>SUM(FT11:FX11)/SUM($FT$28:$FX$28)</f>
        <v>3.0143730634900348E-2</v>
      </c>
      <c r="AC11" s="551">
        <f>+AC10+1</f>
        <v>8</v>
      </c>
      <c r="AD11" s="681">
        <v>8</v>
      </c>
      <c r="AE11" s="682" t="s">
        <v>397</v>
      </c>
      <c r="AF11" s="683">
        <v>9.2200000000000006</v>
      </c>
      <c r="AP11" s="551">
        <f>+AP10+1</f>
        <v>8</v>
      </c>
      <c r="AQ11" s="697">
        <f>FR11</f>
        <v>8</v>
      </c>
      <c r="AR11" s="660" t="s">
        <v>397</v>
      </c>
      <c r="AS11" s="660">
        <f>VLOOKUP(AQ11,$AD$4:$AF$27,$AS$30,FALSE)</f>
        <v>9.2200000000000006</v>
      </c>
      <c r="AT11" s="698">
        <f>L11</f>
        <v>24396504.156589579</v>
      </c>
      <c r="AU11" s="698">
        <f>AT11*AS11/3600</f>
        <v>62482.157867709975</v>
      </c>
      <c r="AV11" s="699">
        <f>AU11*$AL$5/$AU$28</f>
        <v>64502.006120563077</v>
      </c>
      <c r="AW11" s="700">
        <f>$AL$6</f>
        <v>21.592508896755888</v>
      </c>
      <c r="AX11" s="671">
        <f>AV11*AW11</f>
        <v>1392760.141016861</v>
      </c>
      <c r="AY11" s="465">
        <f>AX11/$AX$28</f>
        <v>3.3072708645807927E-2</v>
      </c>
      <c r="AZ11" s="553">
        <f>IF($AT11=0,0,ROUND(IF(VLOOKUP(AQ11,$AQ$4:$AT$27,$AZ$30,FALSE)&lt;&gt;0,AX11/VLOOKUP(AQ11,$AQ$4:$AT$27,$AZ$30,FALSE)*100,""),6))</f>
        <v>5.7088510000000001</v>
      </c>
      <c r="BK11" s="222">
        <f>+BK10+1</f>
        <v>8</v>
      </c>
      <c r="BL11" s="663">
        <f>FR11</f>
        <v>8</v>
      </c>
      <c r="BM11" s="660" t="s">
        <v>397</v>
      </c>
      <c r="BN11" s="662">
        <f>VLOOKUP(BL11,$AQ$4:$AY$28,$BN$33,FALSE)</f>
        <v>3.3072708645807927E-2</v>
      </c>
      <c r="BO11" s="671">
        <f>BN11*$BO$28</f>
        <v>317058.56222011888</v>
      </c>
      <c r="BP11" s="662">
        <f>VLOOKUP(BL11,$J$4:$M$27,$BP$33,FALSE)</f>
        <v>1.1106668518918925E-2</v>
      </c>
      <c r="BQ11" s="671">
        <f>BP11*$BQ$28</f>
        <v>106476.44223450228</v>
      </c>
      <c r="BR11" s="710">
        <f>BQ11+BO11</f>
        <v>423535.00445462117</v>
      </c>
      <c r="BS11" s="711">
        <f>IF($AT11=0,0,ROUND(IF(VLOOKUP(BL11,$AQ$4:$AT$27,$AZ$30,FALSE)&lt;&gt;0,BR11/VLOOKUP(BL11,$AQ$4:$AT$27,$AZ$30,FALSE)*100,""),6))</f>
        <v>1.736048</v>
      </c>
      <c r="BV11" s="15"/>
      <c r="BW11" s="190"/>
      <c r="BX11" s="190"/>
      <c r="BY11" s="190"/>
      <c r="BZ11" s="190"/>
      <c r="CA11" s="190"/>
      <c r="CB11" s="190"/>
      <c r="CC11" s="190"/>
      <c r="CD11" s="190"/>
      <c r="CH11" s="222">
        <f>+CH10+1</f>
        <v>8</v>
      </c>
      <c r="CI11" s="681">
        <f>FR11</f>
        <v>8</v>
      </c>
      <c r="CJ11" s="660" t="s">
        <v>397</v>
      </c>
      <c r="CK11" s="723">
        <f>VLOOKUP(CI11,$J$4:$M$27,$CK$32,FALSE)</f>
        <v>1.1106668518918925E-2</v>
      </c>
      <c r="CL11" s="650">
        <f>CK11*$CL$28</f>
        <v>65104.38953933827</v>
      </c>
      <c r="CM11" s="723">
        <f>VLOOKUP(CI11,$J$4:$P$27,$CM$32,FALSE)</f>
        <v>3.829870414479726E-2</v>
      </c>
      <c r="CN11" s="650">
        <f>CM11*$CN$28</f>
        <v>735793.85962053924</v>
      </c>
      <c r="CO11" s="650">
        <f>CN11+CL11</f>
        <v>800898.24915987754</v>
      </c>
      <c r="CP11" s="723">
        <f>CO11/$CO$28</f>
        <v>3.1941744330103716E-2</v>
      </c>
      <c r="CQ11" s="724">
        <f>IF($AT11=0,0,ROUND(IF(VLOOKUP(CI11,$AQ$4:$AT$27,$AZ$30,FALSE)&lt;&gt;0,CO11/VLOOKUP(CI11,$AQ$4:$AT$27,$AZ$30,FALSE)*100,""),6))</f>
        <v>3.2828400000000002</v>
      </c>
      <c r="DC11" s="411"/>
      <c r="DD11" s="15"/>
      <c r="DG11" s="551">
        <f>+DG10+1</f>
        <v>8</v>
      </c>
      <c r="DH11" s="677">
        <f>FR11</f>
        <v>8</v>
      </c>
      <c r="DI11" s="660" t="s">
        <v>397</v>
      </c>
      <c r="DJ11" s="723">
        <f>VLOOKUP(DH11,$CI$4:$CP$27,$DJ$33,FALSE)</f>
        <v>3.1941744330103716E-2</v>
      </c>
      <c r="DK11" s="650">
        <f>DJ11*$DK$28</f>
        <v>12032.286902338785</v>
      </c>
      <c r="DL11" s="723">
        <f>VLOOKUP(DH11,$J$4:$Q$27,$DL$33,FALSE)</f>
        <v>3.829870414479726E-2</v>
      </c>
      <c r="DM11" s="650">
        <f>DL11*$DM$28</f>
        <v>93760.417578823093</v>
      </c>
      <c r="DN11" s="723">
        <f>VLOOKUP(DH11,$J$4:$Q$27,$DN$33,FALSE)</f>
        <v>1.1106668518918925E-2</v>
      </c>
      <c r="DO11" s="650">
        <f>DN11*$DO$28</f>
        <v>39416.056217364247</v>
      </c>
      <c r="DP11" s="650">
        <f>DK11+DM11+DO11</f>
        <v>145208.76069852614</v>
      </c>
      <c r="DQ11" s="723">
        <f>DP11/$DP$28</f>
        <v>2.2782511183052634E-2</v>
      </c>
      <c r="DR11" s="724">
        <f>IF($AT11=0,0,ROUND(IF(VLOOKUP(DH11,$AQ$4:$AT$27,$AZ$30,FALSE)&lt;&gt;0,DP11/VLOOKUP(DH11,$AQ$4:$AT$27,$AZ$30,FALSE)*100,""),6))</f>
        <v>0.59520300000000004</v>
      </c>
      <c r="DV11" s="551">
        <f>+DV10+1</f>
        <v>8</v>
      </c>
      <c r="DW11" s="677">
        <f>GG11</f>
        <v>8</v>
      </c>
      <c r="DX11" s="660" t="s">
        <v>397</v>
      </c>
      <c r="DY11" s="723">
        <f>VLOOKUP(DW11,$J$4:$Q$27,$DY$33,FALSE)</f>
        <v>3.829870414479726E-2</v>
      </c>
      <c r="DZ11" s="650">
        <f>DY11*$DZ$28</f>
        <v>154573.85452109409</v>
      </c>
      <c r="EA11" s="724">
        <f>IF($AT11=0,0,ROUND(IF(VLOOKUP(DW11,$AQ$4:$AT$27,$AZ$30,FALSE)&lt;&gt;0,DZ11/VLOOKUP(DW11,$AQ$4:$AT$27,$AZ$30,FALSE)*100,""),6))</f>
        <v>0.63358999999999999</v>
      </c>
      <c r="EG11" s="16"/>
      <c r="EH11" s="16"/>
      <c r="EI11" s="16"/>
      <c r="EM11" s="551">
        <f>+EM10+1</f>
        <v>8</v>
      </c>
      <c r="EN11" s="677">
        <f>FR11</f>
        <v>8</v>
      </c>
      <c r="EO11" s="660" t="s">
        <v>397</v>
      </c>
      <c r="EP11" s="723">
        <f>VLOOKUP(EN11,$V$4:$Y$27,$EP$33,FALSE)</f>
        <v>3.0143730634900348E-2</v>
      </c>
      <c r="EQ11" s="650">
        <f>EP11*$EQ$28</f>
        <v>237194.00908995856</v>
      </c>
      <c r="ER11" s="723">
        <f>VLOOKUP(EN11,$CI$4:$CP$27,$ER$33,FALSE)</f>
        <v>3.1941744330103716E-2</v>
      </c>
      <c r="ES11" s="650">
        <f>ER11*$ES$28</f>
        <v>32444.062874131032</v>
      </c>
      <c r="ET11" s="723">
        <f>VLOOKUP(EN11,$J$4:$M$27,$ET$33,FALSE)</f>
        <v>1.1106668518918925E-2</v>
      </c>
      <c r="EU11" s="650">
        <f>ET11*$EU$28</f>
        <v>47756.301612749208</v>
      </c>
      <c r="EV11" s="650">
        <f>EQ11+ES11+EU11</f>
        <v>317394.37357683881</v>
      </c>
      <c r="EW11" s="723">
        <f>EV11/$EV$28</f>
        <v>2.4073697951881502E-2</v>
      </c>
      <c r="EX11" s="724">
        <f>IF($AT11=0,0,ROUND(IF(VLOOKUP(EN11,$AQ$4:$AT$27,$AZ$30,FALSE)&lt;&gt;0,EV11/VLOOKUP(EN11,$AQ$4:$AT$27,$AZ$30,FALSE)*100,""),6))</f>
        <v>1.300983</v>
      </c>
      <c r="FH11" s="551">
        <f>+FH10+1</f>
        <v>8</v>
      </c>
      <c r="FI11" s="670">
        <f>FR11</f>
        <v>8</v>
      </c>
      <c r="FJ11" s="660" t="s">
        <v>397</v>
      </c>
      <c r="FK11" s="723">
        <f>Y11</f>
        <v>3.0143730634900348E-2</v>
      </c>
      <c r="FL11" s="650">
        <f>Y11*$FL$28</f>
        <v>595001.27412675286</v>
      </c>
      <c r="FM11" s="724">
        <f>IF($AT11=0,0,ROUND(IF(VLOOKUP(FI11,$AQ$4:$AT$27,$AZ$30,FALSE)&lt;&gt;0,FL11/VLOOKUP(FI11,$AQ$4:$AT$27,$AZ$30,FALSE)*100,""),6))</f>
        <v>2.438879</v>
      </c>
      <c r="FQ11" s="222">
        <v>8</v>
      </c>
      <c r="FR11" s="670">
        <v>8</v>
      </c>
      <c r="FS11" s="660" t="s">
        <v>397</v>
      </c>
      <c r="FT11" s="650">
        <f>VLOOKUP(FR11,$AQ$4:$AZ$27,$FT$33,FALSE)</f>
        <v>1392760.141016861</v>
      </c>
      <c r="FU11" s="650">
        <f>VLOOKUP(FR11,$BL$4:$BS$86,$FU$33,FALSE)</f>
        <v>423535.00445462117</v>
      </c>
      <c r="FV11" s="650">
        <f>VLOOKUP(FR11,$CI$4:$CQ$27,$FV$33,FALSE)</f>
        <v>800898.24915987754</v>
      </c>
      <c r="FW11" s="650">
        <f>VLOOKUP(FR11,$DH$4:$DP$27,$FW$33,FALSE)</f>
        <v>145208.76069852614</v>
      </c>
      <c r="FX11" s="650">
        <f>VLOOKUP(FR11,$DW$4:$EA$27,$FX$33,FALSE)</f>
        <v>154573.85452109409</v>
      </c>
      <c r="FY11" s="650">
        <f>VLOOKUP(FR11,$EN$4:$EV$28,$FY$34,FALSE)</f>
        <v>317394.37357683881</v>
      </c>
      <c r="FZ11" s="650">
        <f>VLOOKUP(FR11,$FI$4:$FL$27,$FZ$33,FALSE)</f>
        <v>595001.27412675286</v>
      </c>
      <c r="GA11" s="650">
        <f>SUM(FT11:FZ11)</f>
        <v>3829371.6575545715</v>
      </c>
      <c r="GB11" s="747">
        <f>IF($AT11=0,0,ROUND(IF(VLOOKUP(FR11,$AQ$4:$AT$27,$AZ$30,FALSE)&lt;&gt;0,GA11/VLOOKUP(FR11,$AQ$4:$AT$27,$AZ$30,FALSE)*100,""),6))</f>
        <v>15.696395000000001</v>
      </c>
      <c r="GF11" s="551">
        <f>+GF10+1</f>
        <v>8</v>
      </c>
      <c r="GG11" s="670">
        <f>FR11</f>
        <v>8</v>
      </c>
      <c r="GH11" s="660" t="s">
        <v>397</v>
      </c>
      <c r="GI11" s="724">
        <f>VLOOKUP(GG11,$AQ$4:$AZ$27,$GI$31,FALSE)</f>
        <v>5.7088510000000001</v>
      </c>
      <c r="GJ11" s="724">
        <f>VLOOKUP(GG11,$BL$4:$BS$27,$GJ$31,FALSE)</f>
        <v>1.736048</v>
      </c>
      <c r="GK11" s="724">
        <f>VLOOKUP(GG11,$CI$4:$CQ$27,$GK$31,FALSE)</f>
        <v>3.2828400000000002</v>
      </c>
      <c r="GL11" s="724">
        <f>VLOOKUP(GG11,$DH$4:$DR$27,$GL$31,FALSE)</f>
        <v>0.59520300000000004</v>
      </c>
      <c r="GM11" s="724">
        <f>VLOOKUP(GG11,$DW$4:$EA$27,$GM$31,FALSE)</f>
        <v>0.63358999999999999</v>
      </c>
      <c r="GN11" s="724">
        <f>VLOOKUP(GG11,$EN$4:$EX$28,$GN$31,FALSE)</f>
        <v>1.300983</v>
      </c>
      <c r="GO11" s="724">
        <f>VLOOKUP(GG11,$FI$4:$FM$27,$GO$31,FALSE)</f>
        <v>2.438879</v>
      </c>
      <c r="GP11" s="724">
        <f>VLOOKUP(GG11,$FR$4:$GB$27,$GP$31,FALSE)</f>
        <v>15.696395000000001</v>
      </c>
      <c r="GQ11" s="661">
        <f>L11</f>
        <v>24396504.156589579</v>
      </c>
      <c r="GR11" s="530"/>
      <c r="GU11" s="222">
        <f>+GU10+1</f>
        <v>8</v>
      </c>
      <c r="GV11" s="670">
        <f>FR11</f>
        <v>8</v>
      </c>
      <c r="GW11" s="660" t="s">
        <v>397</v>
      </c>
      <c r="GX11" s="663" t="s">
        <v>379</v>
      </c>
      <c r="GY11" s="671">
        <f>GA11</f>
        <v>3829371.6575545715</v>
      </c>
      <c r="GZ11" s="661">
        <f>VLOOKUP(GV11,$GG$4:$GQ$27,$GZ$34,FALSE)</f>
        <v>24396504.156589579</v>
      </c>
      <c r="HA11" s="724">
        <f>IF(GW11="Specialty Containers",$HA$31,ROUND(IF(GZ11&lt;&gt;0,GY11/GZ11*100,0),6))</f>
        <v>15.696395000000001</v>
      </c>
      <c r="HB11" s="650">
        <f>ROUND(HA11,10)*GZ11/100</f>
        <v>3829371.6586097195</v>
      </c>
      <c r="HC11" s="750">
        <f>HB11-GY11</f>
        <v>1.0551479645073414E-3</v>
      </c>
      <c r="HD11" s="549"/>
      <c r="HG11" s="549"/>
      <c r="HH11" s="549"/>
      <c r="HI11" s="549"/>
      <c r="HJ11" s="549"/>
      <c r="HK11" s="549"/>
      <c r="HL11" s="549"/>
      <c r="HM11" s="549"/>
      <c r="HP11" s="551">
        <f>+HP10+1</f>
        <v>8</v>
      </c>
      <c r="HQ11" s="762">
        <f>FR11</f>
        <v>8</v>
      </c>
      <c r="HR11" s="660" t="s">
        <v>397</v>
      </c>
      <c r="HS11" s="661">
        <f>L11</f>
        <v>24396504.156589579</v>
      </c>
      <c r="HT11" s="757">
        <f>HA11</f>
        <v>15.696395000000001</v>
      </c>
      <c r="HU11" s="757">
        <v>13.854915</v>
      </c>
      <c r="HV11" s="651">
        <f>IF(HU11&lt;&gt;0,HT11/HU11-1,"")</f>
        <v>0.13291167791357794</v>
      </c>
      <c r="HW11" s="757">
        <f>HT11-HU11</f>
        <v>1.8414800000000007</v>
      </c>
      <c r="HX11" s="652">
        <v>25</v>
      </c>
      <c r="IO11" s="551">
        <v>8</v>
      </c>
      <c r="IP11" s="762">
        <v>8</v>
      </c>
      <c r="IQ11" s="660" t="s">
        <v>397</v>
      </c>
      <c r="IR11" s="772">
        <f>GY11</f>
        <v>3829371.6575545715</v>
      </c>
      <c r="IS11" s="773">
        <f>GZ11</f>
        <v>24396504.156589579</v>
      </c>
      <c r="IT11" s="774">
        <f>HA11</f>
        <v>15.696395000000001</v>
      </c>
      <c r="IU11" s="661">
        <f>IS11*$IJ$4/(1-$IK$4)</f>
        <v>3566058.2522608493</v>
      </c>
      <c r="IV11" s="661">
        <f>IS11-IU11</f>
        <v>20830445.90432873</v>
      </c>
      <c r="IW11" s="772">
        <f>IU11*$IH$4</f>
        <v>53490.873783912735</v>
      </c>
      <c r="IX11" s="772">
        <f>IR11-IW11</f>
        <v>3775880.783770659</v>
      </c>
      <c r="IY11" s="455">
        <f>IX11/IS11*100</f>
        <v>15.477138689769127</v>
      </c>
      <c r="IZ11" s="555">
        <f>IY11+1.5</f>
        <v>16.977138689769127</v>
      </c>
      <c r="JA11" s="772">
        <f>(IY11*IV11+IZ11*IU11)/100</f>
        <v>3829371.6575545715</v>
      </c>
      <c r="JB11" s="778">
        <f>IT11-IY11</f>
        <v>0.21925631023087355</v>
      </c>
      <c r="JF11" s="551">
        <f>+JF10+1</f>
        <v>8</v>
      </c>
      <c r="JG11" s="762">
        <f>FR11</f>
        <v>8</v>
      </c>
      <c r="JH11" s="660" t="s">
        <v>397</v>
      </c>
      <c r="JI11" s="661">
        <f>L11</f>
        <v>24396504.156589579</v>
      </c>
      <c r="JJ11" s="757">
        <f>IY11</f>
        <v>15.477138689769127</v>
      </c>
      <c r="JK11" s="757">
        <v>13.632681649993463</v>
      </c>
      <c r="JL11" s="651">
        <f>IF(JK11&lt;&gt;0,JJ11/JK11-1,"")</f>
        <v>0.13529671469857507</v>
      </c>
      <c r="JM11" s="757">
        <f>JJ11-JK11</f>
        <v>1.8444570397756639</v>
      </c>
      <c r="JN11" s="652">
        <v>25</v>
      </c>
      <c r="JS11" s="757">
        <v>15.521286813601382</v>
      </c>
      <c r="JT11" s="757">
        <f>JJ11-JS11</f>
        <v>-4.4148123832254527E-2</v>
      </c>
      <c r="JU11" s="1010">
        <v>24199719</v>
      </c>
      <c r="JV11" s="1010">
        <f>JU11-JI11</f>
        <v>-196785.15658957884</v>
      </c>
      <c r="JW11" s="1069">
        <f>JT11/JS11</f>
        <v>-2.8443597726425171E-3</v>
      </c>
      <c r="JX11" s="997">
        <v>3756107.7940755878</v>
      </c>
      <c r="JY11" s="997">
        <f>JI11*JJ11/100</f>
        <v>3775880.783770659</v>
      </c>
      <c r="JZ11" s="516"/>
      <c r="KA11" s="516"/>
      <c r="KB11" s="516"/>
      <c r="KC11" s="516"/>
      <c r="KE11" s="516"/>
      <c r="KF11" s="516"/>
    </row>
    <row r="12" spans="1:292" ht="16.5" x14ac:dyDescent="0.3">
      <c r="A12" s="543">
        <v>9</v>
      </c>
      <c r="B12" s="645" t="s">
        <v>383</v>
      </c>
      <c r="C12" s="646">
        <f>-'DCA 3 month Phase I'!MC10</f>
        <v>-335624.95105193462</v>
      </c>
      <c r="D12" s="647">
        <f>C12/$C$13</f>
        <v>-2.5877780290534886E-3</v>
      </c>
      <c r="E12" s="986">
        <v>-1.5283646938919929E-2</v>
      </c>
      <c r="I12" s="543">
        <f>+I11+1</f>
        <v>9</v>
      </c>
      <c r="J12" s="654">
        <f>FR12</f>
        <v>9</v>
      </c>
      <c r="K12" s="655" t="s">
        <v>398</v>
      </c>
      <c r="L12" s="991">
        <v>120418432.83406256</v>
      </c>
      <c r="M12" s="657">
        <f>L12/$L$28</f>
        <v>5.4821281297975907E-2</v>
      </c>
      <c r="N12" s="656">
        <v>855</v>
      </c>
      <c r="O12" s="656">
        <f>IFERROR(L12/N12,0)</f>
        <v>140840.272320541</v>
      </c>
      <c r="P12" s="657">
        <f>O12/$O$28</f>
        <v>7.8931717410659852E-2</v>
      </c>
      <c r="Q12" s="658" t="s">
        <v>379</v>
      </c>
      <c r="U12" s="545">
        <f>+U11+1</f>
        <v>9</v>
      </c>
      <c r="V12" s="669">
        <f>FR12</f>
        <v>9</v>
      </c>
      <c r="W12" s="655" t="s">
        <v>398</v>
      </c>
      <c r="X12" s="646">
        <f>SUM(FT12:FX12)</f>
        <v>8461224.0417587794</v>
      </c>
      <c r="Y12" s="657">
        <f>SUM(FT12:FX12)/SUM($FT$28:$FX$28)</f>
        <v>8.7437420635265842E-2</v>
      </c>
      <c r="AC12" s="545">
        <f>+AC11+1</f>
        <v>9</v>
      </c>
      <c r="AD12" s="678">
        <v>9</v>
      </c>
      <c r="AE12" s="679" t="s">
        <v>398</v>
      </c>
      <c r="AF12" s="680">
        <v>5.86</v>
      </c>
      <c r="AP12" s="545">
        <f>+AP11+1</f>
        <v>9</v>
      </c>
      <c r="AQ12" s="693">
        <f>FR12</f>
        <v>9</v>
      </c>
      <c r="AR12" s="655" t="s">
        <v>398</v>
      </c>
      <c r="AS12" s="655">
        <f>VLOOKUP(AQ12,$AD$4:$AF$27,$AS$30,FALSE)</f>
        <v>5.86</v>
      </c>
      <c r="AT12" s="694">
        <f>L12</f>
        <v>120418432.83406256</v>
      </c>
      <c r="AU12" s="694">
        <f>AT12*AS12/3600</f>
        <v>196014.44900211293</v>
      </c>
      <c r="AV12" s="695">
        <f>AU12*$AL$5/$AU$28</f>
        <v>202350.96899217379</v>
      </c>
      <c r="AW12" s="696">
        <f>$AL$6</f>
        <v>21.592508896755888</v>
      </c>
      <c r="AX12" s="646">
        <f>AV12*AW12</f>
        <v>4369265.098230687</v>
      </c>
      <c r="AY12" s="544">
        <f>AX12/$AX$28</f>
        <v>0.10375327907113871</v>
      </c>
      <c r="AZ12" s="548">
        <f>IF($AT12=0,0,ROUND(IF(VLOOKUP(AQ12,$AQ$4:$AT$27,$AZ$30,FALSE)&lt;&gt;0,AX12/VLOOKUP(AQ12,$AQ$4:$AT$27,$AZ$30,FALSE)*100,""),6))</f>
        <v>3.6284019999999999</v>
      </c>
      <c r="BK12" s="543">
        <f>+BK11+1</f>
        <v>9</v>
      </c>
      <c r="BL12" s="658">
        <f>FR12</f>
        <v>9</v>
      </c>
      <c r="BM12" s="655" t="s">
        <v>398</v>
      </c>
      <c r="BN12" s="657">
        <f>VLOOKUP(BL12,$AQ$4:$AY$28,$BN$33,FALSE)</f>
        <v>0.10375327907113871</v>
      </c>
      <c r="BO12" s="646">
        <f>BN12*$BO$28</f>
        <v>994652.89765698242</v>
      </c>
      <c r="BP12" s="657">
        <f>VLOOKUP(BL12,$J$4:$M$27,$BP$33,FALSE)</f>
        <v>5.4821281297975907E-2</v>
      </c>
      <c r="BQ12" s="646">
        <f>BP12*$BQ$28</f>
        <v>525555.88396307849</v>
      </c>
      <c r="BR12" s="708">
        <f>BQ12+BO12</f>
        <v>1520208.781620061</v>
      </c>
      <c r="BS12" s="709">
        <f>IF($AT12=0,0,ROUND(IF(VLOOKUP(BL12,$AQ$4:$AT$27,$AZ$30,FALSE)&lt;&gt;0,BR12/VLOOKUP(BL12,$AQ$4:$AT$27,$AZ$30,FALSE)*100,""),6))</f>
        <v>1.2624390000000001</v>
      </c>
      <c r="BV12" s="15"/>
      <c r="BW12" s="190"/>
      <c r="BX12" s="190"/>
      <c r="BY12" s="190"/>
      <c r="BZ12" s="190"/>
      <c r="CA12" s="190"/>
      <c r="CB12" s="190"/>
      <c r="CC12" s="190"/>
      <c r="CD12" s="190"/>
      <c r="CH12" s="543">
        <f>+CH11+1</f>
        <v>9</v>
      </c>
      <c r="CI12" s="678">
        <f>FR12</f>
        <v>9</v>
      </c>
      <c r="CJ12" s="655" t="s">
        <v>398</v>
      </c>
      <c r="CK12" s="657">
        <f>VLOOKUP(CI12,$J$4:$M$27,$CK$32,FALSE)</f>
        <v>5.4821281297975907E-2</v>
      </c>
      <c r="CL12" s="646">
        <f>CK12*$CL$28</f>
        <v>321348.03038278344</v>
      </c>
      <c r="CM12" s="657">
        <f>VLOOKUP(CI12,$J$4:$P$27,$CM$32,FALSE)</f>
        <v>7.8931717410659852E-2</v>
      </c>
      <c r="CN12" s="646">
        <f>CM12*$CN$28</f>
        <v>1516434.41460817</v>
      </c>
      <c r="CO12" s="646">
        <f>CN12+CL12</f>
        <v>1837782.4449909534</v>
      </c>
      <c r="CP12" s="657">
        <f>CO12/$CO$28</f>
        <v>7.3295174579081482E-2</v>
      </c>
      <c r="CQ12" s="709">
        <f>IF($AT12=0,0,ROUND(IF(VLOOKUP(CI12,$AQ$4:$AT$27,$AZ$30,FALSE)&lt;&gt;0,CO12/VLOOKUP(CI12,$AQ$4:$AT$27,$AZ$30,FALSE)*100,""),6))</f>
        <v>1.5261640000000001</v>
      </c>
      <c r="DD12" s="15"/>
      <c r="DG12" s="545">
        <f>+DG11+1</f>
        <v>9</v>
      </c>
      <c r="DH12" s="739">
        <f>FR12</f>
        <v>9</v>
      </c>
      <c r="DI12" s="655" t="s">
        <v>398</v>
      </c>
      <c r="DJ12" s="657">
        <f>VLOOKUP(DH12,$CI$4:$CP$27,$DJ$33,FALSE)</f>
        <v>7.3295174579081482E-2</v>
      </c>
      <c r="DK12" s="646">
        <f>DJ12*$DK$28</f>
        <v>27609.906333805193</v>
      </c>
      <c r="DL12" s="657">
        <f>VLOOKUP(DH12,$J$4:$Q$27,$DL$33,FALSE)</f>
        <v>7.8931717410659852E-2</v>
      </c>
      <c r="DM12" s="646">
        <f>DL12*$DM$28</f>
        <v>193235.54020671698</v>
      </c>
      <c r="DN12" s="657">
        <f>VLOOKUP(DH12,$J$4:$Q$27,$DN$33,FALSE)</f>
        <v>5.4821281297975907E-2</v>
      </c>
      <c r="DO12" s="646">
        <f>DN12*$DO$28</f>
        <v>194553.27237580006</v>
      </c>
      <c r="DP12" s="646">
        <f>DK12+DM12+DO12</f>
        <v>415398.71891632222</v>
      </c>
      <c r="DQ12" s="657">
        <f>DP12/$DP$28</f>
        <v>6.5173932437761692E-2</v>
      </c>
      <c r="DR12" s="709">
        <f>IF($AT12=0,0,ROUND(IF(VLOOKUP(DH12,$AQ$4:$AT$27,$AZ$30,FALSE)&lt;&gt;0,DP12/VLOOKUP(DH12,$AQ$4:$AT$27,$AZ$30,FALSE)*100,""),6))</f>
        <v>0.34496300000000002</v>
      </c>
      <c r="DV12" s="545">
        <f>+DV11+1</f>
        <v>9</v>
      </c>
      <c r="DW12" s="739">
        <f>GG12</f>
        <v>9</v>
      </c>
      <c r="DX12" s="655" t="s">
        <v>398</v>
      </c>
      <c r="DY12" s="657">
        <f>VLOOKUP(DW12,$J$4:$Q$27,$DY$33,FALSE)</f>
        <v>7.8931717410659852E-2</v>
      </c>
      <c r="DZ12" s="646">
        <f>DY12*$DZ$28</f>
        <v>318568.99800075556</v>
      </c>
      <c r="EA12" s="709">
        <f>IF($AT12=0,0,ROUND(IF(VLOOKUP(DW12,$AQ$4:$AT$27,$AZ$30,FALSE)&lt;&gt;0,DZ12/VLOOKUP(DW12,$AQ$4:$AT$27,$AZ$30,FALSE)*100,""),6))</f>
        <v>0.26455200000000001</v>
      </c>
      <c r="EM12" s="545">
        <f>+EM11+1</f>
        <v>9</v>
      </c>
      <c r="EN12" s="739">
        <f>FR12</f>
        <v>9</v>
      </c>
      <c r="EO12" s="655" t="s">
        <v>398</v>
      </c>
      <c r="EP12" s="657">
        <f>VLOOKUP(EN12,$V$4:$Y$27,$EP$33,FALSE)</f>
        <v>8.7437420635265842E-2</v>
      </c>
      <c r="EQ12" s="646">
        <f>EP12*$EQ$28</f>
        <v>688024.73708916025</v>
      </c>
      <c r="ER12" s="657">
        <f>VLOOKUP(EN12,$CI$4:$CP$27,$ER$33,FALSE)</f>
        <v>7.3295174579081482E-2</v>
      </c>
      <c r="ES12" s="646">
        <f>ER12*$ES$28</f>
        <v>74447.820627409325</v>
      </c>
      <c r="ET12" s="657">
        <f>VLOOKUP(EN12,$J$4:$M$27,$ET$33,FALSE)</f>
        <v>5.4821281297975907E-2</v>
      </c>
      <c r="EU12" s="646">
        <f>ET12*$EU$28</f>
        <v>235719.7966252382</v>
      </c>
      <c r="EV12" s="646">
        <f>EQ12+ES12+EU12</f>
        <v>998192.35434180778</v>
      </c>
      <c r="EW12" s="657">
        <f>EV12/$EV$28</f>
        <v>7.5710797786037703E-2</v>
      </c>
      <c r="EX12" s="709">
        <f>IF($AT12=0,0,ROUND(IF(VLOOKUP(EN12,$AQ$4:$AT$27,$AZ$30,FALSE)&lt;&gt;0,EV12/VLOOKUP(EN12,$AQ$4:$AT$27,$AZ$30,FALSE)*100,""),6))</f>
        <v>0.82893700000000003</v>
      </c>
      <c r="FH12" s="545">
        <f>+FH11+1</f>
        <v>9</v>
      </c>
      <c r="FI12" s="669">
        <f>FR12</f>
        <v>9</v>
      </c>
      <c r="FJ12" s="655" t="s">
        <v>398</v>
      </c>
      <c r="FK12" s="657">
        <f>Y12</f>
        <v>8.7437420635265842E-2</v>
      </c>
      <c r="FL12" s="646">
        <f>Y12*$FL$28</f>
        <v>1725910.3497994086</v>
      </c>
      <c r="FM12" s="709">
        <f>IF($AT12=0,0,ROUND(IF(VLOOKUP(FI12,$AQ$4:$AT$27,$AZ$30,FALSE)&lt;&gt;0,FL12/VLOOKUP(FI12,$AQ$4:$AT$27,$AZ$30,FALSE)*100,""),6))</f>
        <v>1.4332609999999999</v>
      </c>
      <c r="FQ12" s="543">
        <v>9</v>
      </c>
      <c r="FR12" s="669">
        <v>9</v>
      </c>
      <c r="FS12" s="655" t="s">
        <v>398</v>
      </c>
      <c r="FT12" s="646">
        <f>VLOOKUP(FR12,$AQ$4:$AZ$27,$FT$33,FALSE)</f>
        <v>4369265.098230687</v>
      </c>
      <c r="FU12" s="646">
        <f>VLOOKUP(FR12,$BL$4:$BS$86,$FU$33,FALSE)</f>
        <v>1520208.781620061</v>
      </c>
      <c r="FV12" s="646">
        <f>VLOOKUP(FR12,$CI$4:$CQ$27,$FV$33,FALSE)</f>
        <v>1837782.4449909534</v>
      </c>
      <c r="FW12" s="646">
        <f>VLOOKUP(FR12,$DH$4:$DP$27,$FW$33,FALSE)</f>
        <v>415398.71891632222</v>
      </c>
      <c r="FX12" s="646">
        <f>VLOOKUP(FR12,$DW$4:$EA$27,$FX$33,FALSE)</f>
        <v>318568.99800075556</v>
      </c>
      <c r="FY12" s="646">
        <f>VLOOKUP(FR12,$EN$4:$EV$28,$FY$34,FALSE)</f>
        <v>998192.35434180778</v>
      </c>
      <c r="FZ12" s="646">
        <f>VLOOKUP(FR12,$FI$4:$FL$27,$FZ$33,FALSE)</f>
        <v>1725910.3497994086</v>
      </c>
      <c r="GA12" s="646">
        <f>SUM(FT12:FZ12)</f>
        <v>11185326.745899998</v>
      </c>
      <c r="GB12" s="746">
        <f>IF($AT12=0,0,ROUND(IF(VLOOKUP(FR12,$AQ$4:$AT$27,$AZ$30,FALSE)&lt;&gt;0,GA12/VLOOKUP(FR12,$AQ$4:$AT$27,$AZ$30,FALSE)*100,""),6))</f>
        <v>9.2887160000000009</v>
      </c>
      <c r="GF12" s="545">
        <f>+GF11+1</f>
        <v>9</v>
      </c>
      <c r="GG12" s="669">
        <f>FR12</f>
        <v>9</v>
      </c>
      <c r="GH12" s="655" t="s">
        <v>398</v>
      </c>
      <c r="GI12" s="709">
        <f>VLOOKUP(GG12,$AQ$4:$AZ$27,$GI$31,FALSE)</f>
        <v>3.6284019999999999</v>
      </c>
      <c r="GJ12" s="709">
        <f>VLOOKUP(GG12,$BL$4:$BS$27,$GJ$31,FALSE)</f>
        <v>1.2624390000000001</v>
      </c>
      <c r="GK12" s="709">
        <f>VLOOKUP(GG12,$CI$4:$CQ$27,$GK$31,FALSE)</f>
        <v>1.5261640000000001</v>
      </c>
      <c r="GL12" s="709">
        <f>VLOOKUP(GG12,$DH$4:$DR$27,$GL$31,FALSE)</f>
        <v>0.34496300000000002</v>
      </c>
      <c r="GM12" s="709">
        <f>VLOOKUP(GG12,$DW$4:$EA$27,$GM$31,FALSE)</f>
        <v>0.26455200000000001</v>
      </c>
      <c r="GN12" s="709">
        <f>VLOOKUP(GG12,$EN$4:$EX$28,$GN$31,FALSE)</f>
        <v>0.82893700000000003</v>
      </c>
      <c r="GO12" s="709">
        <f>VLOOKUP(GG12,$FI$4:$FM$27,$GO$31,FALSE)</f>
        <v>1.4332609999999999</v>
      </c>
      <c r="GP12" s="709">
        <f>VLOOKUP(GG12,$FR$4:$GB$27,$GP$31,FALSE)</f>
        <v>9.2887160000000009</v>
      </c>
      <c r="GQ12" s="656">
        <f>L12</f>
        <v>120418432.83406256</v>
      </c>
      <c r="GR12" s="530"/>
      <c r="GU12" s="543">
        <f>+GU11+1</f>
        <v>9</v>
      </c>
      <c r="GV12" s="669">
        <f>FR12</f>
        <v>9</v>
      </c>
      <c r="GW12" s="655" t="s">
        <v>398</v>
      </c>
      <c r="GX12" s="658" t="s">
        <v>379</v>
      </c>
      <c r="GY12" s="646">
        <f>GA12</f>
        <v>11185326.745899998</v>
      </c>
      <c r="GZ12" s="656">
        <f>VLOOKUP(GV12,$GG$4:$GQ$27,$GZ$34,FALSE)</f>
        <v>120418432.83406256</v>
      </c>
      <c r="HA12" s="709">
        <f>IF(GW12="Specialty Containers",$HA$31,ROUND(IF(GZ12&lt;&gt;0,GY12/GZ12*100,0),6))</f>
        <v>9.2887160000000009</v>
      </c>
      <c r="HB12" s="646">
        <f>ROUND(HA12,10)*GZ12/100</f>
        <v>11185326.237606823</v>
      </c>
      <c r="HC12" s="749">
        <f>HB12-GY12</f>
        <v>-0.50829317420721054</v>
      </c>
      <c r="HD12" s="549"/>
      <c r="HG12" s="549"/>
      <c r="HH12" s="549"/>
      <c r="HI12" s="549"/>
      <c r="HJ12" s="549"/>
      <c r="HK12" s="549"/>
      <c r="HL12" s="549"/>
      <c r="HM12" s="549"/>
      <c r="HP12" s="545">
        <f>+HP11+1</f>
        <v>9</v>
      </c>
      <c r="HQ12" s="761">
        <f>FR12</f>
        <v>9</v>
      </c>
      <c r="HR12" s="655" t="s">
        <v>398</v>
      </c>
      <c r="HS12" s="656">
        <f>L12</f>
        <v>120418432.83406256</v>
      </c>
      <c r="HT12" s="756">
        <f>HA12</f>
        <v>9.2887160000000009</v>
      </c>
      <c r="HU12" s="756">
        <v>8.1251270000000009</v>
      </c>
      <c r="HV12" s="647">
        <f>IF(HU12&lt;&gt;0,HT12/HU12-1,"")</f>
        <v>0.14320871538377178</v>
      </c>
      <c r="HW12" s="756">
        <f>HT12-HU12</f>
        <v>1.163589</v>
      </c>
      <c r="HX12" s="648">
        <v>10</v>
      </c>
      <c r="IO12" s="545">
        <v>9</v>
      </c>
      <c r="IP12" s="761">
        <v>9</v>
      </c>
      <c r="IQ12" s="655" t="s">
        <v>398</v>
      </c>
      <c r="IR12" s="769">
        <f>GY12</f>
        <v>11185326.745899998</v>
      </c>
      <c r="IS12" s="770">
        <f>GZ12</f>
        <v>120418432.83406256</v>
      </c>
      <c r="IT12" s="771">
        <f>HA12</f>
        <v>9.2887160000000009</v>
      </c>
      <c r="IU12" s="656">
        <f>IS12*$IJ$4/(1-$IK$4)</f>
        <v>17601667.16411458</v>
      </c>
      <c r="IV12" s="656">
        <f>IS12-IU12</f>
        <v>102816765.66994798</v>
      </c>
      <c r="IW12" s="769">
        <f>IU12*$IH$4</f>
        <v>264025.00746171869</v>
      </c>
      <c r="IX12" s="769">
        <f>IR12-IW12</f>
        <v>10921301.738438278</v>
      </c>
      <c r="IY12" s="550">
        <f>IX12/IS12*100</f>
        <v>9.0694601161999078</v>
      </c>
      <c r="IZ12" s="550">
        <f>IY12+1.5</f>
        <v>10.569460116199908</v>
      </c>
      <c r="JA12" s="769">
        <f>(IY12*IV12+IZ12*IU12)/100</f>
        <v>11185326.745899998</v>
      </c>
      <c r="JB12" s="746">
        <f>IT12-IY12</f>
        <v>0.21925588380009309</v>
      </c>
      <c r="JF12" s="545">
        <f>+JF11+1</f>
        <v>9</v>
      </c>
      <c r="JG12" s="761">
        <f>FR12</f>
        <v>9</v>
      </c>
      <c r="JH12" s="655" t="s">
        <v>398</v>
      </c>
      <c r="JI12" s="656">
        <f>L12</f>
        <v>120418432.83406256</v>
      </c>
      <c r="JJ12" s="756">
        <f>IY12</f>
        <v>9.0694601161999078</v>
      </c>
      <c r="JK12" s="756">
        <v>7.902894267014676</v>
      </c>
      <c r="JL12" s="647">
        <f>IF(JK12&lt;&gt;0,JJ12/JK12-1,"")</f>
        <v>0.14761248344853573</v>
      </c>
      <c r="JM12" s="756">
        <f>JJ12-JK12</f>
        <v>1.1665658491852318</v>
      </c>
      <c r="JN12" s="648">
        <v>10</v>
      </c>
      <c r="JS12" s="756">
        <v>9.0929707915554143</v>
      </c>
      <c r="JT12" s="756">
        <f>JJ12-JS12</f>
        <v>-2.351067535550655E-2</v>
      </c>
      <c r="JU12" s="1009">
        <v>119687775</v>
      </c>
      <c r="JV12" s="1009">
        <f>JU12-JI12</f>
        <v>-730657.83406256139</v>
      </c>
      <c r="JW12" s="1069">
        <f>JT12/JS12</f>
        <v>-2.5855879111962802E-3</v>
      </c>
      <c r="JX12" s="997">
        <v>10883174.421812562</v>
      </c>
      <c r="JY12" s="997">
        <f>JI12*JJ12/100</f>
        <v>10921301.738438277</v>
      </c>
      <c r="JZ12" s="516"/>
      <c r="KA12" s="516"/>
      <c r="KB12" s="516"/>
      <c r="KC12" s="516"/>
      <c r="KE12" s="516"/>
      <c r="KF12" s="516"/>
    </row>
    <row r="13" spans="1:292" ht="20.25" customHeight="1" x14ac:dyDescent="0.3">
      <c r="A13" s="579">
        <v>10</v>
      </c>
      <c r="B13" s="786" t="s">
        <v>283</v>
      </c>
      <c r="C13" s="787">
        <f>SUM(C4:C12)</f>
        <v>129696190.04559426</v>
      </c>
      <c r="D13" s="788">
        <f>SUM(D4:D12)</f>
        <v>1</v>
      </c>
      <c r="E13" s="789">
        <f>SUM(E4:E12)</f>
        <v>5.9055510012352554</v>
      </c>
      <c r="I13" s="222">
        <f>+I12+1</f>
        <v>10</v>
      </c>
      <c r="J13" s="659">
        <f>FR13</f>
        <v>10</v>
      </c>
      <c r="K13" s="660" t="s">
        <v>399</v>
      </c>
      <c r="L13" s="991">
        <v>4889550.8363437131</v>
      </c>
      <c r="M13" s="662">
        <f>L13/$L$28</f>
        <v>2.2260000857952439E-3</v>
      </c>
      <c r="N13" s="661">
        <v>351</v>
      </c>
      <c r="O13" s="661">
        <f>IFERROR(L13/N13,0)</f>
        <v>13930.344263087502</v>
      </c>
      <c r="P13" s="662">
        <f>O13/$O$28</f>
        <v>7.8070425361344955E-3</v>
      </c>
      <c r="Q13" s="663" t="s">
        <v>379</v>
      </c>
      <c r="U13" s="551">
        <f>+U12+1</f>
        <v>10</v>
      </c>
      <c r="V13" s="670">
        <f>FR13</f>
        <v>10</v>
      </c>
      <c r="W13" s="660" t="s">
        <v>399</v>
      </c>
      <c r="X13" s="671">
        <f>SUM(FT13:FX13)</f>
        <v>686151.78524655721</v>
      </c>
      <c r="Y13" s="662">
        <f>SUM(FT13:FX13)/SUM($FT$28:$FX$28)</f>
        <v>7.0906221097734902E-3</v>
      </c>
      <c r="AC13" s="551">
        <f>+AC12+1</f>
        <v>10</v>
      </c>
      <c r="AD13" s="681">
        <v>10</v>
      </c>
      <c r="AE13" s="682" t="s">
        <v>399</v>
      </c>
      <c r="AF13" s="683">
        <v>11.86</v>
      </c>
      <c r="AP13" s="551">
        <f>+AP12+1</f>
        <v>10</v>
      </c>
      <c r="AQ13" s="697">
        <f>FR13</f>
        <v>10</v>
      </c>
      <c r="AR13" s="660" t="s">
        <v>399</v>
      </c>
      <c r="AS13" s="660">
        <f>VLOOKUP(AQ13,$AD$4:$AF$27,$AS$30,FALSE)</f>
        <v>11.86</v>
      </c>
      <c r="AT13" s="698">
        <f>L13</f>
        <v>4889550.8363437131</v>
      </c>
      <c r="AU13" s="698">
        <f>AT13*AS13/3600</f>
        <v>16108.353588621232</v>
      </c>
      <c r="AV13" s="699">
        <f>AU13*$AL$5/$AU$28</f>
        <v>16629.085121632692</v>
      </c>
      <c r="AW13" s="700">
        <f>$AL$6</f>
        <v>21.592508896755888</v>
      </c>
      <c r="AX13" s="671">
        <f>AV13*AW13</f>
        <v>359063.66843376489</v>
      </c>
      <c r="AY13" s="465">
        <f>AX13/$AX$28</f>
        <v>8.5263842220059081E-3</v>
      </c>
      <c r="AZ13" s="553">
        <f>IF($AT13=0,0,ROUND(IF(VLOOKUP(AQ13,$AQ$4:$AT$27,$AZ$30,FALSE)&lt;&gt;0,AX13/VLOOKUP(AQ13,$AQ$4:$AT$27,$AZ$30,FALSE)*100,""),6))</f>
        <v>7.3434900000000001</v>
      </c>
      <c r="BK13" s="222">
        <f>+BK12+1</f>
        <v>10</v>
      </c>
      <c r="BL13" s="663">
        <f>FR13</f>
        <v>10</v>
      </c>
      <c r="BM13" s="660" t="s">
        <v>399</v>
      </c>
      <c r="BN13" s="662">
        <f>VLOOKUP(BL13,$AQ$4:$AY$28,$BN$33,FALSE)</f>
        <v>8.5263842220059081E-3</v>
      </c>
      <c r="BO13" s="671">
        <f>BN13*$BO$28</f>
        <v>81739.997510248082</v>
      </c>
      <c r="BP13" s="662">
        <f>VLOOKUP(BL13,$J$4:$M$27,$BP$33,FALSE)</f>
        <v>2.2260000857952439E-3</v>
      </c>
      <c r="BQ13" s="671">
        <f>BP13*$BQ$28</f>
        <v>21340.023711470643</v>
      </c>
      <c r="BR13" s="710">
        <f>BQ13+BO13</f>
        <v>103080.02122171872</v>
      </c>
      <c r="BS13" s="711">
        <f>IF($AT13=0,0,ROUND(IF(VLOOKUP(BL13,$AQ$4:$AT$27,$AZ$30,FALSE)&lt;&gt;0,BR13/VLOOKUP(BL13,$AQ$4:$AT$27,$AZ$30,FALSE)*100,""),6))</f>
        <v>2.1081699999999999</v>
      </c>
      <c r="BV13" s="15"/>
      <c r="BW13" s="190"/>
      <c r="BX13" s="190"/>
      <c r="BY13" s="190"/>
      <c r="BZ13" s="190"/>
      <c r="CA13" s="190"/>
      <c r="CB13" s="190"/>
      <c r="CC13" s="190"/>
      <c r="CD13" s="190"/>
      <c r="CH13" s="222">
        <f>+CH12+1</f>
        <v>10</v>
      </c>
      <c r="CI13" s="681">
        <f>FR13</f>
        <v>10</v>
      </c>
      <c r="CJ13" s="660" t="s">
        <v>399</v>
      </c>
      <c r="CK13" s="723">
        <f>VLOOKUP(CI13,$J$4:$M$27,$CK$32,FALSE)</f>
        <v>2.2260000857952439E-3</v>
      </c>
      <c r="CL13" s="650">
        <f>CK13*$CL$28</f>
        <v>13048.231020251975</v>
      </c>
      <c r="CM13" s="723">
        <f>VLOOKUP(CI13,$J$4:$P$27,$CM$32,FALSE)</f>
        <v>7.8070425361344955E-3</v>
      </c>
      <c r="CN13" s="650">
        <f>CM13*$CN$28</f>
        <v>149988.72907464876</v>
      </c>
      <c r="CO13" s="650">
        <f>CN13+CL13</f>
        <v>163036.96009490074</v>
      </c>
      <c r="CP13" s="723">
        <f>CO13/$CO$28</f>
        <v>6.5023052568430181E-3</v>
      </c>
      <c r="CQ13" s="724">
        <f>IF($AT13=0,0,ROUND(IF(VLOOKUP(CI13,$AQ$4:$AT$27,$AZ$30,FALSE)&lt;&gt;0,CO13/VLOOKUP(CI13,$AQ$4:$AT$27,$AZ$30,FALSE)*100,""),6))</f>
        <v>3.3343950000000002</v>
      </c>
      <c r="DC13" s="198"/>
      <c r="DD13" s="15"/>
      <c r="DG13" s="551">
        <f>+DG12+1</f>
        <v>10</v>
      </c>
      <c r="DH13" s="677">
        <f>FR13</f>
        <v>10</v>
      </c>
      <c r="DI13" s="660" t="s">
        <v>399</v>
      </c>
      <c r="DJ13" s="723">
        <f>VLOOKUP(DH13,$CI$4:$CP$27,$DJ$33,FALSE)</f>
        <v>6.5023052568430181E-3</v>
      </c>
      <c r="DK13" s="650">
        <f>DJ13*$DK$28</f>
        <v>2449.3841528618495</v>
      </c>
      <c r="DL13" s="723">
        <f>VLOOKUP(DH13,$J$4:$Q$27,$DL$33,FALSE)</f>
        <v>7.8070425361344955E-3</v>
      </c>
      <c r="DM13" s="650">
        <f>DL13*$DM$28</f>
        <v>19112.69805568716</v>
      </c>
      <c r="DN13" s="723">
        <f>VLOOKUP(DH13,$J$4:$Q$27,$DN$33,FALSE)</f>
        <v>2.2260000857952439E-3</v>
      </c>
      <c r="DO13" s="650">
        <f>DN13*$DO$28</f>
        <v>7899.7715986668536</v>
      </c>
      <c r="DP13" s="650">
        <f>DK13+DM13+DO13</f>
        <v>29461.853807215863</v>
      </c>
      <c r="DQ13" s="723">
        <f>DP13/$DP$28</f>
        <v>4.6224140376068231E-3</v>
      </c>
      <c r="DR13" s="724">
        <f>IF($AT13=0,0,ROUND(IF(VLOOKUP(DH13,$AQ$4:$AT$27,$AZ$30,FALSE)&lt;&gt;0,DP13/VLOOKUP(DH13,$AQ$4:$AT$27,$AZ$30,FALSE)*100,""),6))</f>
        <v>0.60254700000000005</v>
      </c>
      <c r="DV13" s="551">
        <f>+DV12+1</f>
        <v>10</v>
      </c>
      <c r="DW13" s="677">
        <f>GG13</f>
        <v>10</v>
      </c>
      <c r="DX13" s="660" t="s">
        <v>399</v>
      </c>
      <c r="DY13" s="723">
        <f>VLOOKUP(DW13,$J$4:$Q$27,$DY$33,FALSE)</f>
        <v>7.8070425361344955E-3</v>
      </c>
      <c r="DZ13" s="650">
        <f>DY13*$DZ$28</f>
        <v>31509.281688957133</v>
      </c>
      <c r="EA13" s="724">
        <f>IF($AT13=0,0,ROUND(IF(VLOOKUP(DW13,$AQ$4:$AT$27,$AZ$30,FALSE)&lt;&gt;0,DZ13/VLOOKUP(DW13,$AQ$4:$AT$27,$AZ$30,FALSE)*100,""),6))</f>
        <v>0.64442100000000002</v>
      </c>
      <c r="EM13" s="551">
        <f>+EM12+1</f>
        <v>10</v>
      </c>
      <c r="EN13" s="677">
        <f>FR13</f>
        <v>10</v>
      </c>
      <c r="EO13" s="660" t="s">
        <v>399</v>
      </c>
      <c r="EP13" s="723">
        <f>VLOOKUP(EN13,$V$4:$Y$27,$EP$33,FALSE)</f>
        <v>7.0906221097734902E-3</v>
      </c>
      <c r="EQ13" s="650">
        <f>EP13*$EQ$28</f>
        <v>55794.45708063183</v>
      </c>
      <c r="ER13" s="723">
        <f>VLOOKUP(EN13,$CI$4:$CP$27,$ER$33,FALSE)</f>
        <v>6.5023052568430181E-3</v>
      </c>
      <c r="ES13" s="650">
        <f>ER13*$ES$28</f>
        <v>6604.5610533857343</v>
      </c>
      <c r="ET13" s="723">
        <f>VLOOKUP(EN13,$J$4:$M$27,$ET$33,FALSE)</f>
        <v>2.2260000857952439E-3</v>
      </c>
      <c r="EU13" s="650">
        <f>ET13*$EU$28</f>
        <v>9571.324768193459</v>
      </c>
      <c r="EV13" s="650">
        <f>EQ13+ES13+EU13</f>
        <v>71970.342902211021</v>
      </c>
      <c r="EW13" s="723">
        <f>EV13/$EV$28</f>
        <v>5.4587996535537808E-3</v>
      </c>
      <c r="EX13" s="724">
        <f>IF($AT13=0,0,ROUND(IF(VLOOKUP(EN13,$AQ$4:$AT$27,$AZ$30,FALSE)&lt;&gt;0,EV13/VLOOKUP(EN13,$AQ$4:$AT$27,$AZ$30,FALSE)*100,""),6))</f>
        <v>1.471921</v>
      </c>
      <c r="FH13" s="551">
        <f>+FH12+1</f>
        <v>10</v>
      </c>
      <c r="FI13" s="670">
        <f>FR13</f>
        <v>10</v>
      </c>
      <c r="FJ13" s="660" t="s">
        <v>399</v>
      </c>
      <c r="FK13" s="723">
        <f>Y13</f>
        <v>7.0906221097734902E-3</v>
      </c>
      <c r="FL13" s="650">
        <f>Y13*$FL$28</f>
        <v>139960.41965628116</v>
      </c>
      <c r="FM13" s="724">
        <f>IF($AT13=0,0,ROUND(IF(VLOOKUP(FI13,$AQ$4:$AT$27,$AZ$30,FALSE)&lt;&gt;0,FL13/VLOOKUP(FI13,$AQ$4:$AT$27,$AZ$30,FALSE)*100,""),6))</f>
        <v>2.8624390000000002</v>
      </c>
      <c r="FQ13" s="222">
        <f>+FQ12+1</f>
        <v>10</v>
      </c>
      <c r="FR13" s="670">
        <v>10</v>
      </c>
      <c r="FS13" s="660" t="s">
        <v>399</v>
      </c>
      <c r="FT13" s="650">
        <f>VLOOKUP(FR13,$AQ$4:$AZ$27,$FT$33,FALSE)</f>
        <v>359063.66843376489</v>
      </c>
      <c r="FU13" s="650">
        <f>VLOOKUP(FR13,$BL$4:$BS$86,$FU$33,FALSE)</f>
        <v>103080.02122171872</v>
      </c>
      <c r="FV13" s="650">
        <f>VLOOKUP(FR13,$CI$4:$CQ$27,$FV$33,FALSE)</f>
        <v>163036.96009490074</v>
      </c>
      <c r="FW13" s="650">
        <f>VLOOKUP(FR13,$DH$4:$DP$27,$FW$33,FALSE)</f>
        <v>29461.853807215863</v>
      </c>
      <c r="FX13" s="650">
        <f>VLOOKUP(FR13,$DW$4:$EA$27,$FX$33,FALSE)</f>
        <v>31509.281688957133</v>
      </c>
      <c r="FY13" s="650">
        <f>VLOOKUP(FR13,$EN$4:$EV$28,$FY$34,FALSE)</f>
        <v>71970.342902211021</v>
      </c>
      <c r="FZ13" s="650">
        <f>VLOOKUP(FR13,$FI$4:$FL$27,$FZ$33,FALSE)</f>
        <v>139960.41965628116</v>
      </c>
      <c r="GA13" s="650">
        <f>SUM(FT13:FZ13)</f>
        <v>898082.54780504934</v>
      </c>
      <c r="GB13" s="747">
        <f>IF($AT13=0,0,ROUND(IF(VLOOKUP(FR13,$AQ$4:$AT$27,$AZ$30,FALSE)&lt;&gt;0,GA13/VLOOKUP(FR13,$AQ$4:$AT$27,$AZ$30,FALSE)*100,""),6))</f>
        <v>18.367383</v>
      </c>
      <c r="GF13" s="551">
        <f>+GF12+1</f>
        <v>10</v>
      </c>
      <c r="GG13" s="670">
        <f>FR13</f>
        <v>10</v>
      </c>
      <c r="GH13" s="660" t="s">
        <v>399</v>
      </c>
      <c r="GI13" s="724">
        <f>VLOOKUP(GG13,$AQ$4:$AZ$27,$GI$31,FALSE)</f>
        <v>7.3434900000000001</v>
      </c>
      <c r="GJ13" s="724">
        <f>VLOOKUP(GG13,$BL$4:$BS$27,$GJ$31,FALSE)</f>
        <v>2.1081699999999999</v>
      </c>
      <c r="GK13" s="724">
        <f>VLOOKUP(GG13,$CI$4:$CQ$27,$GK$31,FALSE)</f>
        <v>3.3343950000000002</v>
      </c>
      <c r="GL13" s="724">
        <f>VLOOKUP(GG13,$DH$4:$DR$27,$GL$31,FALSE)</f>
        <v>0.60254700000000005</v>
      </c>
      <c r="GM13" s="724">
        <f>VLOOKUP(GG13,$DW$4:$EA$27,$GM$31,FALSE)</f>
        <v>0.64442100000000002</v>
      </c>
      <c r="GN13" s="724">
        <f>VLOOKUP(GG13,$EN$4:$EX$28,$GN$31,FALSE)</f>
        <v>1.471921</v>
      </c>
      <c r="GO13" s="724">
        <f>VLOOKUP(GG13,$FI$4:$FM$27,$GO$31,FALSE)</f>
        <v>2.8624390000000002</v>
      </c>
      <c r="GP13" s="724">
        <f>VLOOKUP(GG13,$FR$4:$GB$27,$GP$31,FALSE)</f>
        <v>18.367383</v>
      </c>
      <c r="GQ13" s="661">
        <f>L13</f>
        <v>4889550.8363437131</v>
      </c>
      <c r="GR13" s="530"/>
      <c r="GU13" s="222">
        <f>+GU12+1</f>
        <v>10</v>
      </c>
      <c r="GV13" s="670">
        <f>FR13</f>
        <v>10</v>
      </c>
      <c r="GW13" s="660" t="s">
        <v>399</v>
      </c>
      <c r="GX13" s="663" t="s">
        <v>379</v>
      </c>
      <c r="GY13" s="671">
        <f>GA13</f>
        <v>898082.54780504934</v>
      </c>
      <c r="GZ13" s="661">
        <f>VLOOKUP(GV13,$GG$4:$GQ$27,$GZ$34,FALSE)</f>
        <v>4889550.8363437131</v>
      </c>
      <c r="HA13" s="724">
        <f>IF(GW13="Specialty Containers",$HA$31,ROUND(IF(GZ13&lt;&gt;0,GY13/GZ13*100,0),6))</f>
        <v>18.367383</v>
      </c>
      <c r="HB13" s="650">
        <f>ROUND(HA13,10)*GZ13/100</f>
        <v>898082.52909095306</v>
      </c>
      <c r="HC13" s="750">
        <f>HB13-GY13</f>
        <v>-1.8714096280746162E-2</v>
      </c>
      <c r="HD13" s="549"/>
      <c r="HG13" s="549"/>
      <c r="HH13" s="549"/>
      <c r="HI13" s="549"/>
      <c r="HJ13" s="549"/>
      <c r="HK13" s="549"/>
      <c r="HL13" s="549"/>
      <c r="HM13" s="549"/>
      <c r="HP13" s="551">
        <f>+HP12+1</f>
        <v>10</v>
      </c>
      <c r="HQ13" s="762">
        <f>FR13</f>
        <v>10</v>
      </c>
      <c r="HR13" s="660" t="s">
        <v>399</v>
      </c>
      <c r="HS13" s="661">
        <f>L13</f>
        <v>4889550.8363437131</v>
      </c>
      <c r="HT13" s="757">
        <f>HA13</f>
        <v>18.367383</v>
      </c>
      <c r="HU13" s="757">
        <v>16.197026000000001</v>
      </c>
      <c r="HV13" s="651">
        <f>IF(HU13&lt;&gt;0,HT13/HU13-1,"")</f>
        <v>0.13399725356988368</v>
      </c>
      <c r="HW13" s="757">
        <f>HT13-HU13</f>
        <v>2.1703569999999992</v>
      </c>
      <c r="HX13" s="652">
        <v>25</v>
      </c>
      <c r="IO13" s="551">
        <v>10</v>
      </c>
      <c r="IP13" s="762">
        <v>10</v>
      </c>
      <c r="IQ13" s="660" t="s">
        <v>399</v>
      </c>
      <c r="IR13" s="772">
        <f>GY13</f>
        <v>898082.54780504934</v>
      </c>
      <c r="IS13" s="773">
        <f>GZ13</f>
        <v>4889550.8363437131</v>
      </c>
      <c r="IT13" s="774">
        <f>HA13</f>
        <v>18.367383</v>
      </c>
      <c r="IU13" s="661">
        <f>IS13*$IJ$4/(1-$IK$4)</f>
        <v>714709.90261048509</v>
      </c>
      <c r="IV13" s="661">
        <f>IS13-IU13</f>
        <v>4174840.9337332281</v>
      </c>
      <c r="IW13" s="772">
        <f>IU13*$IH$4</f>
        <v>10720.648539157277</v>
      </c>
      <c r="IX13" s="772">
        <f>IR13-IW13</f>
        <v>887361.89926589211</v>
      </c>
      <c r="IY13" s="455">
        <f>IX13/IS13*100</f>
        <v>18.148127076830633</v>
      </c>
      <c r="IZ13" s="555">
        <f>IY13+1.5</f>
        <v>19.648127076830633</v>
      </c>
      <c r="JA13" s="772">
        <f>(IY13*IV13+IZ13*IU13)/100</f>
        <v>898082.54780504922</v>
      </c>
      <c r="JB13" s="778">
        <f>IT13-IY13</f>
        <v>0.21925592316936715</v>
      </c>
      <c r="JF13" s="551">
        <f>+JF12+1</f>
        <v>10</v>
      </c>
      <c r="JG13" s="762">
        <f>FR13</f>
        <v>10</v>
      </c>
      <c r="JH13" s="660" t="s">
        <v>399</v>
      </c>
      <c r="JI13" s="661">
        <f>L13</f>
        <v>4889550.8363437131</v>
      </c>
      <c r="JJ13" s="757">
        <f>IY13</f>
        <v>18.148127076830633</v>
      </c>
      <c r="JK13" s="757">
        <v>15.97479251749226</v>
      </c>
      <c r="JL13" s="651">
        <f>IF(JK13&lt;&gt;0,JJ13/JK13-1,"")</f>
        <v>0.13604774878663317</v>
      </c>
      <c r="JM13" s="757">
        <f>JJ13-JK13</f>
        <v>2.1733345593383735</v>
      </c>
      <c r="JN13" s="652">
        <v>25</v>
      </c>
      <c r="JS13" s="757">
        <v>18.195653385168942</v>
      </c>
      <c r="JT13" s="757">
        <f>JJ13-JS13</f>
        <v>-4.7526308338309065E-2</v>
      </c>
      <c r="JU13" s="1010">
        <v>4853908</v>
      </c>
      <c r="JV13" s="1010">
        <f>JU13-JI13</f>
        <v>-35642.836343713105</v>
      </c>
      <c r="JW13" s="1069">
        <f>JT13/JS13</f>
        <v>-2.6119594241692462E-3</v>
      </c>
      <c r="JX13" s="997">
        <v>883200.27531498612</v>
      </c>
      <c r="JY13" s="997">
        <f>JI13*JJ13/100</f>
        <v>887361.89926589211</v>
      </c>
      <c r="JZ13" s="516"/>
      <c r="KA13" s="516"/>
      <c r="KB13" s="516"/>
      <c r="KC13" s="516"/>
      <c r="KE13" s="516"/>
      <c r="KF13" s="516"/>
    </row>
    <row r="14" spans="1:292" ht="16.5" x14ac:dyDescent="0.3">
      <c r="C14" s="232"/>
      <c r="I14" s="543">
        <f>+I13+1</f>
        <v>11</v>
      </c>
      <c r="J14" s="654">
        <f>FR14</f>
        <v>11</v>
      </c>
      <c r="K14" s="655" t="s">
        <v>400</v>
      </c>
      <c r="L14" s="991">
        <v>55435725.681052022</v>
      </c>
      <c r="M14" s="657">
        <f>L14/$L$28</f>
        <v>2.5237477685050278E-2</v>
      </c>
      <c r="N14" s="656">
        <v>245</v>
      </c>
      <c r="O14" s="656">
        <f>IFERROR(L14/N14,0)</f>
        <v>226268.26808592663</v>
      </c>
      <c r="P14" s="657">
        <f>O14/$O$28</f>
        <v>0.12680849519312534</v>
      </c>
      <c r="Q14" s="658" t="s">
        <v>379</v>
      </c>
      <c r="U14" s="545">
        <f>+U13+1</f>
        <v>11</v>
      </c>
      <c r="V14" s="669">
        <f>FR14</f>
        <v>11</v>
      </c>
      <c r="W14" s="655" t="s">
        <v>400</v>
      </c>
      <c r="X14" s="646">
        <f>SUM(FT14:FX14)</f>
        <v>7779931.9695170606</v>
      </c>
      <c r="Y14" s="657">
        <f>SUM(FT14:FX14)/SUM($FT$28:$FX$28)</f>
        <v>8.0397018300795972E-2</v>
      </c>
      <c r="AC14" s="545">
        <f>+AC13+1</f>
        <v>11</v>
      </c>
      <c r="AD14" s="678">
        <v>11</v>
      </c>
      <c r="AE14" s="679" t="s">
        <v>400</v>
      </c>
      <c r="AF14" s="680">
        <v>9.5</v>
      </c>
      <c r="AP14" s="545">
        <f>+AP13+1</f>
        <v>11</v>
      </c>
      <c r="AQ14" s="693">
        <f>FR14</f>
        <v>11</v>
      </c>
      <c r="AR14" s="655" t="s">
        <v>400</v>
      </c>
      <c r="AS14" s="655">
        <f>VLOOKUP(AQ14,$AD$4:$AF$27,$AS$30,FALSE)</f>
        <v>9.5</v>
      </c>
      <c r="AT14" s="694">
        <f>L14</f>
        <v>55435725.681052022</v>
      </c>
      <c r="AU14" s="694">
        <f>AT14*AS14/3600</f>
        <v>146288.72054722061</v>
      </c>
      <c r="AV14" s="695">
        <f>AU14*$AL$5/$AU$28</f>
        <v>151017.7668332824</v>
      </c>
      <c r="AW14" s="696">
        <f>$AL$6</f>
        <v>21.592508896755888</v>
      </c>
      <c r="AX14" s="646">
        <f>AV14*AW14</f>
        <v>3260852.4739158563</v>
      </c>
      <c r="AY14" s="544">
        <f>AX14/$AX$28</f>
        <v>7.7432732766205381E-2</v>
      </c>
      <c r="AZ14" s="548">
        <f>IF($AT14=0,0,ROUND(IF(VLOOKUP(AQ14,$AQ$4:$AT$27,$AZ$30,FALSE)&lt;&gt;0,AX14/VLOOKUP(AQ14,$AQ$4:$AT$27,$AZ$30,FALSE)*100,""),6))</f>
        <v>5.8822219999999996</v>
      </c>
      <c r="BK14" s="543">
        <f>+BK13+1</f>
        <v>11</v>
      </c>
      <c r="BL14" s="658">
        <f>FR14</f>
        <v>11</v>
      </c>
      <c r="BM14" s="655" t="s">
        <v>400</v>
      </c>
      <c r="BN14" s="657">
        <f>VLOOKUP(BL14,$AQ$4:$AY$28,$BN$33,FALSE)</f>
        <v>7.7432732766205381E-2</v>
      </c>
      <c r="BO14" s="646">
        <f>BN14*$BO$28</f>
        <v>742325.3771728687</v>
      </c>
      <c r="BP14" s="657">
        <f>VLOOKUP(BL14,$J$4:$M$27,$BP$33,FALSE)</f>
        <v>2.5237477685050278E-2</v>
      </c>
      <c r="BQ14" s="646">
        <f>BP14*$BQ$28</f>
        <v>241944.45258715222</v>
      </c>
      <c r="BR14" s="708">
        <f>BQ14+BO14</f>
        <v>984269.82976002095</v>
      </c>
      <c r="BS14" s="709">
        <f>IF($AT14=0,0,ROUND(IF(VLOOKUP(BL14,$AQ$4:$AT$27,$AZ$30,FALSE)&lt;&gt;0,BR14/VLOOKUP(BL14,$AQ$4:$AT$27,$AZ$30,FALSE)*100,""),6))</f>
        <v>1.775515</v>
      </c>
      <c r="BV14" s="15"/>
      <c r="BW14" s="190"/>
      <c r="BX14" s="190"/>
      <c r="BY14" s="190"/>
      <c r="BZ14" s="190"/>
      <c r="CA14" s="190"/>
      <c r="CB14" s="190"/>
      <c r="CC14" s="190"/>
      <c r="CD14" s="190"/>
      <c r="CH14" s="543">
        <f>+CH13+1</f>
        <v>11</v>
      </c>
      <c r="CI14" s="678">
        <f>FR14</f>
        <v>11</v>
      </c>
      <c r="CJ14" s="655" t="s">
        <v>400</v>
      </c>
      <c r="CK14" s="657">
        <f>VLOOKUP(CI14,$J$4:$M$27,$CK$32,FALSE)</f>
        <v>2.5237477685050278E-2</v>
      </c>
      <c r="CL14" s="646">
        <f>CK14*$CL$28</f>
        <v>147935.5015771912</v>
      </c>
      <c r="CM14" s="657">
        <f>VLOOKUP(CI14,$J$4:$P$27,$CM$32,FALSE)</f>
        <v>0.12680849519312534</v>
      </c>
      <c r="CN14" s="646">
        <f>CM14*$CN$28</f>
        <v>2436242.013778355</v>
      </c>
      <c r="CO14" s="646">
        <f>CN14+CL14</f>
        <v>2584177.515355546</v>
      </c>
      <c r="CP14" s="657">
        <f>CO14/$CO$28</f>
        <v>0.10306320133134918</v>
      </c>
      <c r="CQ14" s="709">
        <f>IF($AT14=0,0,ROUND(IF(VLOOKUP(CI14,$AQ$4:$AT$27,$AZ$30,FALSE)&lt;&gt;0,CO14/VLOOKUP(CI14,$AQ$4:$AT$27,$AZ$30,FALSE)*100,""),6))</f>
        <v>4.6615739999999999</v>
      </c>
      <c r="DD14" s="15"/>
      <c r="DG14" s="545">
        <f>+DG13+1</f>
        <v>11</v>
      </c>
      <c r="DH14" s="739">
        <f>FR14</f>
        <v>11</v>
      </c>
      <c r="DI14" s="655" t="s">
        <v>400</v>
      </c>
      <c r="DJ14" s="657">
        <f>VLOOKUP(DH14,$CI$4:$CP$27,$DJ$33,FALSE)</f>
        <v>0.10306320133134918</v>
      </c>
      <c r="DK14" s="646">
        <f>DJ14*$DK$28</f>
        <v>38823.365270116767</v>
      </c>
      <c r="DL14" s="657">
        <f>VLOOKUP(DH14,$J$4:$Q$27,$DL$33,FALSE)</f>
        <v>0.12680849519312534</v>
      </c>
      <c r="DM14" s="646">
        <f>DL14*$DM$28</f>
        <v>310444.37996904849</v>
      </c>
      <c r="DN14" s="657">
        <f>VLOOKUP(DH14,$J$4:$Q$27,$DN$33,FALSE)</f>
        <v>2.5237477685050278E-2</v>
      </c>
      <c r="DO14" s="646">
        <f>DN14*$DO$28</f>
        <v>89564.376349573751</v>
      </c>
      <c r="DP14" s="646">
        <f>DK14+DM14+DO14</f>
        <v>438832.12158873898</v>
      </c>
      <c r="DQ14" s="657">
        <f>DP14/$DP$28</f>
        <v>6.8850513353906989E-2</v>
      </c>
      <c r="DR14" s="709">
        <f>IF($AT14=0,0,ROUND(IF(VLOOKUP(DH14,$AQ$4:$AT$27,$AZ$30,FALSE)&lt;&gt;0,DP14/VLOOKUP(DH14,$AQ$4:$AT$27,$AZ$30,FALSE)*100,""),6))</f>
        <v>0.791605</v>
      </c>
      <c r="DV14" s="545">
        <f>+DV13+1</f>
        <v>11</v>
      </c>
      <c r="DW14" s="739">
        <f>GG14</f>
        <v>11</v>
      </c>
      <c r="DX14" s="655" t="s">
        <v>400</v>
      </c>
      <c r="DY14" s="657">
        <f>VLOOKUP(DW14,$J$4:$Q$27,$DY$33,FALSE)</f>
        <v>0.12680849519312534</v>
      </c>
      <c r="DZ14" s="646">
        <f>DY14*$DZ$28</f>
        <v>511800.02889689885</v>
      </c>
      <c r="EA14" s="709">
        <f>IF($AT14=0,0,ROUND(IF(VLOOKUP(DW14,$AQ$4:$AT$27,$AZ$30,FALSE)&lt;&gt;0,DZ14/VLOOKUP(DW14,$AQ$4:$AT$27,$AZ$30,FALSE)*100,""),6))</f>
        <v>0.92323100000000002</v>
      </c>
      <c r="EM14" s="545">
        <f>+EM13+1</f>
        <v>11</v>
      </c>
      <c r="EN14" s="739">
        <f>FR14</f>
        <v>11</v>
      </c>
      <c r="EO14" s="655" t="s">
        <v>400</v>
      </c>
      <c r="EP14" s="657">
        <f>VLOOKUP(EN14,$V$4:$Y$27,$EP$33,FALSE)</f>
        <v>8.0397018300795972E-2</v>
      </c>
      <c r="EQ14" s="646">
        <f>EP14*$EQ$28</f>
        <v>632625.44774619618</v>
      </c>
      <c r="ER14" s="657">
        <f>VLOOKUP(EN14,$CI$4:$CP$27,$ER$33,FALSE)</f>
        <v>0.10306320133134918</v>
      </c>
      <c r="ES14" s="646">
        <f>ER14*$ES$28</f>
        <v>104683.98185919173</v>
      </c>
      <c r="ET14" s="657">
        <f>VLOOKUP(EN14,$J$4:$M$27,$ET$33,FALSE)</f>
        <v>2.5237477685050278E-2</v>
      </c>
      <c r="EU14" s="646">
        <f>ET14*$EU$28</f>
        <v>108515.76187938689</v>
      </c>
      <c r="EV14" s="646">
        <f>EQ14+ES14+EU14</f>
        <v>845825.1914847747</v>
      </c>
      <c r="EW14" s="657">
        <f>EV14/$EV$28</f>
        <v>6.4154067857057573E-2</v>
      </c>
      <c r="EX14" s="709">
        <f>IF($AT14=0,0,ROUND(IF(VLOOKUP(EN14,$AQ$4:$AT$27,$AZ$30,FALSE)&lt;&gt;0,EV14/VLOOKUP(EN14,$AQ$4:$AT$27,$AZ$30,FALSE)*100,""),6))</f>
        <v>1.525776</v>
      </c>
      <c r="FH14" s="545">
        <f>+FH13+1</f>
        <v>11</v>
      </c>
      <c r="FI14" s="669">
        <f>FR14</f>
        <v>11</v>
      </c>
      <c r="FJ14" s="655" t="s">
        <v>400</v>
      </c>
      <c r="FK14" s="657">
        <f>Y14</f>
        <v>8.0397018300795972E-2</v>
      </c>
      <c r="FL14" s="646">
        <f>Y14*$FL$28</f>
        <v>1586941.208583541</v>
      </c>
      <c r="FM14" s="709">
        <f>IF($AT14=0,0,ROUND(IF(VLOOKUP(FI14,$AQ$4:$AT$27,$AZ$30,FALSE)&lt;&gt;0,FL14/VLOOKUP(FI14,$AQ$4:$AT$27,$AZ$30,FALSE)*100,""),6))</f>
        <v>2.8626689999999999</v>
      </c>
      <c r="FQ14" s="543">
        <v>11</v>
      </c>
      <c r="FR14" s="669">
        <v>11</v>
      </c>
      <c r="FS14" s="655" t="s">
        <v>400</v>
      </c>
      <c r="FT14" s="646">
        <f>VLOOKUP(FR14,$AQ$4:$AZ$27,$FT$33,FALSE)</f>
        <v>3260852.4739158563</v>
      </c>
      <c r="FU14" s="646">
        <f>VLOOKUP(FR14,$BL$4:$BS$86,$FU$33,FALSE)</f>
        <v>984269.82976002095</v>
      </c>
      <c r="FV14" s="646">
        <f>VLOOKUP(FR14,$CI$4:$CQ$27,$FV$33,FALSE)</f>
        <v>2584177.515355546</v>
      </c>
      <c r="FW14" s="646">
        <f>VLOOKUP(FR14,$DH$4:$DP$27,$FW$33,FALSE)</f>
        <v>438832.12158873898</v>
      </c>
      <c r="FX14" s="646">
        <f>VLOOKUP(FR14,$DW$4:$EA$27,$FX$33,FALSE)</f>
        <v>511800.02889689885</v>
      </c>
      <c r="FY14" s="646">
        <f>VLOOKUP(FR14,$EN$4:$EV$28,$FY$34,FALSE)</f>
        <v>845825.1914847747</v>
      </c>
      <c r="FZ14" s="646">
        <f>VLOOKUP(FR14,$FI$4:$FL$27,$FZ$33,FALSE)</f>
        <v>1586941.208583541</v>
      </c>
      <c r="GA14" s="646">
        <f>SUM(FT14:FZ14)</f>
        <v>10212698.369585376</v>
      </c>
      <c r="GB14" s="746">
        <f>IF($AT14=0,0,ROUND(IF(VLOOKUP(FR14,$AQ$4:$AT$27,$AZ$30,FALSE)&lt;&gt;0,GA14/VLOOKUP(FR14,$AQ$4:$AT$27,$AZ$30,FALSE)*100,""),6))</f>
        <v>18.422592999999999</v>
      </c>
      <c r="GF14" s="545">
        <f>+GF13+1</f>
        <v>11</v>
      </c>
      <c r="GG14" s="669">
        <f>FR14</f>
        <v>11</v>
      </c>
      <c r="GH14" s="655" t="s">
        <v>400</v>
      </c>
      <c r="GI14" s="709">
        <f>VLOOKUP(GG14,$AQ$4:$AZ$27,$GI$31,FALSE)</f>
        <v>5.8822219999999996</v>
      </c>
      <c r="GJ14" s="709">
        <f>VLOOKUP(GG14,$BL$4:$BS$27,$GJ$31,FALSE)</f>
        <v>1.775515</v>
      </c>
      <c r="GK14" s="709">
        <f>VLOOKUP(GG14,$CI$4:$CQ$27,$GK$31,FALSE)</f>
        <v>4.6615739999999999</v>
      </c>
      <c r="GL14" s="709">
        <f>VLOOKUP(GG14,$DH$4:$DR$27,$GL$31,FALSE)</f>
        <v>0.791605</v>
      </c>
      <c r="GM14" s="709">
        <f>VLOOKUP(GG14,$DW$4:$EA$27,$GM$31,FALSE)</f>
        <v>0.92323100000000002</v>
      </c>
      <c r="GN14" s="709">
        <f>VLOOKUP(GG14,$EN$4:$EX$28,$GN$31,FALSE)</f>
        <v>1.525776</v>
      </c>
      <c r="GO14" s="709">
        <f>VLOOKUP(GG14,$FI$4:$FM$27,$GO$31,FALSE)</f>
        <v>2.8626689999999999</v>
      </c>
      <c r="GP14" s="709">
        <f>VLOOKUP(GG14,$FR$4:$GB$27,$GP$31,FALSE)</f>
        <v>18.422592999999999</v>
      </c>
      <c r="GQ14" s="656">
        <f>L14</f>
        <v>55435725.681052022</v>
      </c>
      <c r="GR14" s="530"/>
      <c r="GU14" s="543">
        <f>+GU13+1</f>
        <v>11</v>
      </c>
      <c r="GV14" s="669">
        <f>FR14</f>
        <v>11</v>
      </c>
      <c r="GW14" s="655" t="s">
        <v>400</v>
      </c>
      <c r="GX14" s="658" t="s">
        <v>379</v>
      </c>
      <c r="GY14" s="646">
        <f>GA14</f>
        <v>10212698.369585376</v>
      </c>
      <c r="GZ14" s="656">
        <f>VLOOKUP(GV14,$GG$4:$GQ$27,$GZ$34,FALSE)</f>
        <v>55435725.681052022</v>
      </c>
      <c r="HA14" s="709">
        <f>IF(GW14="Specialty Containers",$HA$31,ROUND(IF(GZ14&lt;&gt;0,GY14/GZ14*100,0),6))</f>
        <v>18.422592999999999</v>
      </c>
      <c r="HB14" s="646">
        <f>ROUND(HA14,10)*GZ14/100</f>
        <v>10212698.118816692</v>
      </c>
      <c r="HC14" s="749">
        <f>HB14-GY14</f>
        <v>-0.25076868385076523</v>
      </c>
      <c r="HD14" s="549"/>
      <c r="HG14" s="549"/>
      <c r="HH14" s="549"/>
      <c r="HI14" s="549"/>
      <c r="HJ14" s="549"/>
      <c r="HK14" s="549"/>
      <c r="HL14" s="549"/>
      <c r="HM14" s="549"/>
      <c r="HP14" s="545">
        <f>+HP13+1</f>
        <v>11</v>
      </c>
      <c r="HQ14" s="761">
        <f>FR14</f>
        <v>11</v>
      </c>
      <c r="HR14" s="655" t="s">
        <v>400</v>
      </c>
      <c r="HS14" s="656">
        <f>L14</f>
        <v>55435725.681052022</v>
      </c>
      <c r="HT14" s="756">
        <f>HA14</f>
        <v>18.422592999999999</v>
      </c>
      <c r="HU14" s="756">
        <v>16.373829000000001</v>
      </c>
      <c r="HV14" s="647">
        <f>IF(HU14&lt;&gt;0,HT14/HU14-1,"")</f>
        <v>0.12512430659926888</v>
      </c>
      <c r="HW14" s="756">
        <f>HT14-HU14</f>
        <v>2.0487639999999985</v>
      </c>
      <c r="HX14" s="648">
        <v>25</v>
      </c>
      <c r="IO14" s="545">
        <v>11</v>
      </c>
      <c r="IP14" s="761">
        <v>11</v>
      </c>
      <c r="IQ14" s="655" t="s">
        <v>400</v>
      </c>
      <c r="IR14" s="769">
        <f>GY14</f>
        <v>10212698.369585376</v>
      </c>
      <c r="IS14" s="770">
        <f>GZ14</f>
        <v>55435725.681052022</v>
      </c>
      <c r="IT14" s="771">
        <f>HA14</f>
        <v>18.422592999999999</v>
      </c>
      <c r="IU14" s="656">
        <f>IS14*$IJ$4/(1-$IK$4)</f>
        <v>8103088.2853594534</v>
      </c>
      <c r="IV14" s="656">
        <f>IS14-IU14</f>
        <v>47332637.395692572</v>
      </c>
      <c r="IW14" s="769">
        <f>IU14*$IH$4</f>
        <v>121546.3242803918</v>
      </c>
      <c r="IX14" s="769">
        <f>IR14-IW14</f>
        <v>10091152.045304984</v>
      </c>
      <c r="IY14" s="550">
        <f>IX14/IS14*100</f>
        <v>18.20333714645346</v>
      </c>
      <c r="IZ14" s="550">
        <f>IY14+1.5</f>
        <v>19.70333714645346</v>
      </c>
      <c r="JA14" s="769">
        <f>(IY14*IV14+IZ14*IU14)/100</f>
        <v>10212698.369585376</v>
      </c>
      <c r="JB14" s="746">
        <f>IT14-IY14</f>
        <v>0.21925585354653876</v>
      </c>
      <c r="JF14" s="545">
        <f>+JF13+1</f>
        <v>11</v>
      </c>
      <c r="JG14" s="761">
        <f>FR14</f>
        <v>11</v>
      </c>
      <c r="JH14" s="655" t="s">
        <v>400</v>
      </c>
      <c r="JI14" s="656">
        <f>L14</f>
        <v>55435725.681052022</v>
      </c>
      <c r="JJ14" s="756">
        <f>IY14</f>
        <v>18.20333714645346</v>
      </c>
      <c r="JK14" s="756">
        <v>16.151595464916259</v>
      </c>
      <c r="JL14" s="647">
        <f>IF(JK14&lt;&gt;0,JJ14/JK14-1,"")</f>
        <v>0.12703027920640397</v>
      </c>
      <c r="JM14" s="756">
        <f>JJ14-JK14</f>
        <v>2.0517416815372016</v>
      </c>
      <c r="JN14" s="648">
        <v>25</v>
      </c>
      <c r="JS14" s="756">
        <v>18.261111175750457</v>
      </c>
      <c r="JT14" s="1005">
        <f>JJ14-JS14</f>
        <v>-5.7774029296997043E-2</v>
      </c>
      <c r="JU14" s="1009">
        <v>55181479</v>
      </c>
      <c r="JV14" s="1009">
        <f>JU14-JI14</f>
        <v>-254246.68105202168</v>
      </c>
      <c r="JW14" s="1069">
        <f>JT14/JS14</f>
        <v>-3.1637740300117724E-3</v>
      </c>
      <c r="JX14" s="997">
        <v>10076751.228613392</v>
      </c>
      <c r="JY14" s="997">
        <f>JI14*JJ14/100</f>
        <v>10091152.045304982</v>
      </c>
      <c r="JZ14" s="516"/>
      <c r="KA14" s="516"/>
      <c r="KB14" s="516"/>
      <c r="KC14" s="516"/>
      <c r="KE14" s="516"/>
      <c r="KF14" s="516"/>
    </row>
    <row r="15" spans="1:292" ht="16.5" x14ac:dyDescent="0.3">
      <c r="I15" s="222">
        <f>+I14+1</f>
        <v>12</v>
      </c>
      <c r="J15" s="659">
        <f>FR15</f>
        <v>12</v>
      </c>
      <c r="K15" s="660" t="s">
        <v>401</v>
      </c>
      <c r="L15" s="991">
        <v>26524837.511994332</v>
      </c>
      <c r="M15" s="662">
        <f>L15/$L$28</f>
        <v>1.2075606237393404E-2</v>
      </c>
      <c r="N15" s="661">
        <v>1606</v>
      </c>
      <c r="O15" s="661">
        <f>IFERROR(L15/N15,0)</f>
        <v>16516.088114566832</v>
      </c>
      <c r="P15" s="662">
        <f>O15/$O$28</f>
        <v>9.256182044447921E-3</v>
      </c>
      <c r="Q15" s="663" t="s">
        <v>384</v>
      </c>
      <c r="U15" s="551">
        <f>+U14+1</f>
        <v>12</v>
      </c>
      <c r="V15" s="670">
        <f>FR15</f>
        <v>12</v>
      </c>
      <c r="W15" s="660" t="s">
        <v>401</v>
      </c>
      <c r="X15" s="671">
        <f>SUM(FT15:FX15)</f>
        <v>1485160.6244872019</v>
      </c>
      <c r="Y15" s="662">
        <f>SUM(FT15:FX15)/SUM($FT$28:$FX$28)</f>
        <v>1.5347497429843343E-2</v>
      </c>
      <c r="AC15" s="551">
        <f>+AC14+1</f>
        <v>12</v>
      </c>
      <c r="AD15" s="681">
        <v>12</v>
      </c>
      <c r="AE15" s="682" t="s">
        <v>401</v>
      </c>
      <c r="AF15" s="683">
        <v>5.03</v>
      </c>
      <c r="AP15" s="551">
        <f>+AP14+1</f>
        <v>12</v>
      </c>
      <c r="AQ15" s="697">
        <f>FR15</f>
        <v>12</v>
      </c>
      <c r="AR15" s="660" t="s">
        <v>401</v>
      </c>
      <c r="AS15" s="660">
        <f>VLOOKUP(AQ15,$AD$4:$AF$27,$AS$30,FALSE)</f>
        <v>5.03</v>
      </c>
      <c r="AT15" s="698">
        <f>L15</f>
        <v>26524837.511994332</v>
      </c>
      <c r="AU15" s="698">
        <f>AT15*AS15/3600</f>
        <v>37061.092412592079</v>
      </c>
      <c r="AV15" s="699">
        <f>AU15*$AL$5/$AU$28</f>
        <v>38259.15895371401</v>
      </c>
      <c r="AW15" s="700">
        <f>$AL$6</f>
        <v>21.592508896755888</v>
      </c>
      <c r="AX15" s="671">
        <f>AV15*AW15</f>
        <v>826111.23009046749</v>
      </c>
      <c r="AY15" s="465">
        <f>AX15/$AX$28</f>
        <v>1.9616971520928433E-2</v>
      </c>
      <c r="AZ15" s="553">
        <f>IF($AT15=0,0,ROUND(IF(VLOOKUP(AQ15,$AQ$4:$AT$27,$AZ$30,FALSE)&lt;&gt;0,AX15/VLOOKUP(AQ15,$AQ$4:$AT$27,$AZ$30,FALSE)*100,""),6))</f>
        <v>3.1144820000000002</v>
      </c>
      <c r="BK15" s="222">
        <f>+BK14+1</f>
        <v>12</v>
      </c>
      <c r="BL15" s="663">
        <f>FR15</f>
        <v>12</v>
      </c>
      <c r="BM15" s="660" t="s">
        <v>401</v>
      </c>
      <c r="BN15" s="662">
        <f>VLOOKUP(BL15,$AQ$4:$AY$28,$BN$33,FALSE)</f>
        <v>1.9616971520928433E-2</v>
      </c>
      <c r="BO15" s="671">
        <f>BN15*$BO$28</f>
        <v>188062.27370575402</v>
      </c>
      <c r="BP15" s="662">
        <f>VLOOKUP(BL15,$J$4:$M$27,$BP$33,FALSE)</f>
        <v>1.2075606237393404E-2</v>
      </c>
      <c r="BQ15" s="671">
        <f>BP15*$BQ$28</f>
        <v>115765.36994799635</v>
      </c>
      <c r="BR15" s="710">
        <f>BQ15+BO15</f>
        <v>303827.64365375036</v>
      </c>
      <c r="BS15" s="711">
        <f>IF($AT15=0,0,ROUND(IF(VLOOKUP(BL15,$AQ$4:$AT$27,$AZ$30,FALSE)&lt;&gt;0,BR15/VLOOKUP(BL15,$AQ$4:$AT$27,$AZ$30,FALSE)*100,""),6))</f>
        <v>1.145446</v>
      </c>
      <c r="BV15" s="15"/>
      <c r="BW15" s="190"/>
      <c r="BX15" s="190"/>
      <c r="BY15" s="190"/>
      <c r="BZ15" s="190"/>
      <c r="CA15" s="190"/>
      <c r="CB15" s="190"/>
      <c r="CC15" s="190"/>
      <c r="CD15" s="190"/>
      <c r="CH15" s="222">
        <f>+CH14+1</f>
        <v>12</v>
      </c>
      <c r="CI15" s="681">
        <f>FR15</f>
        <v>12</v>
      </c>
      <c r="CJ15" s="660" t="s">
        <v>401</v>
      </c>
      <c r="CK15" s="723">
        <f>VLOOKUP(CI15,$J$4:$M$27,$CK$32,FALSE)</f>
        <v>1.2075606237393404E-2</v>
      </c>
      <c r="CL15" s="650">
        <f>CK15*$CL$28</f>
        <v>70784.049336105149</v>
      </c>
      <c r="CM15" s="723">
        <f>VLOOKUP(CI15,$J$4:$P$27,$CM$32,FALSE)</f>
        <v>9.256182044447921E-3</v>
      </c>
      <c r="CN15" s="650">
        <f>CM15*$CN$28</f>
        <v>177829.56535775823</v>
      </c>
      <c r="CO15" s="650">
        <f>CN15+CL15</f>
        <v>248613.61469386338</v>
      </c>
      <c r="CP15" s="723">
        <f>CO15/$CO$28</f>
        <v>9.9153076259866618E-3</v>
      </c>
      <c r="CQ15" s="724">
        <f>IF($AT15=0,0,ROUND(IF(VLOOKUP(CI15,$AQ$4:$AT$27,$AZ$30,FALSE)&lt;&gt;0,CO15/VLOOKUP(CI15,$AQ$4:$AT$27,$AZ$30,FALSE)*100,""),6))</f>
        <v>0.93728599999999995</v>
      </c>
      <c r="DD15" s="15"/>
      <c r="DG15" s="551">
        <f>+DG14+1</f>
        <v>12</v>
      </c>
      <c r="DH15" s="677">
        <f>FR15</f>
        <v>12</v>
      </c>
      <c r="DI15" s="660" t="s">
        <v>401</v>
      </c>
      <c r="DJ15" s="723">
        <f>VLOOKUP(DH15,$CI$4:$CP$27,$DJ$33,FALSE)</f>
        <v>9.9153076259866618E-3</v>
      </c>
      <c r="DK15" s="650">
        <f>DJ15*$DK$28</f>
        <v>3735.0441744153736</v>
      </c>
      <c r="DL15" s="723">
        <f>VLOOKUP(DH15,$J$4:$Q$27,$DL$33,FALSE)</f>
        <v>9.256182044447921E-3</v>
      </c>
      <c r="DM15" s="650">
        <f>DL15*$DM$28</f>
        <v>22660.387943985766</v>
      </c>
      <c r="DN15" s="723">
        <f>VLOOKUP(DH15,$J$4:$Q$27,$DN$33,FALSE)</f>
        <v>1.2075606237393404E-2</v>
      </c>
      <c r="DO15" s="650">
        <f>DN15*$DO$28</f>
        <v>42854.684417842145</v>
      </c>
      <c r="DP15" s="650">
        <f>DK15+DM15+DO15</f>
        <v>69250.11653624328</v>
      </c>
      <c r="DQ15" s="723">
        <f>DP15/$DP$28</f>
        <v>1.0864988770823343E-2</v>
      </c>
      <c r="DR15" s="724">
        <f>IF($AT15=0,0,ROUND(IF(VLOOKUP(DH15,$AQ$4:$AT$27,$AZ$30,FALSE)&lt;&gt;0,DP15/VLOOKUP(DH15,$AQ$4:$AT$27,$AZ$30,FALSE)*100,""),6))</f>
        <v>0.26107599999999997</v>
      </c>
      <c r="DV15" s="551">
        <f>+DV14+1</f>
        <v>12</v>
      </c>
      <c r="DW15" s="677">
        <f>GG15</f>
        <v>12</v>
      </c>
      <c r="DX15" s="660" t="s">
        <v>401</v>
      </c>
      <c r="DY15" s="723">
        <f>VLOOKUP(DW15,$J$4:$Q$27,$DY$33,FALSE)</f>
        <v>9.256182044447921E-3</v>
      </c>
      <c r="DZ15" s="650">
        <f>DY15*$DZ$28</f>
        <v>37358.019512877443</v>
      </c>
      <c r="EA15" s="724">
        <f>IF($AT15=0,0,ROUND(IF(VLOOKUP(DW15,$AQ$4:$AT$27,$AZ$30,FALSE)&lt;&gt;0,DZ15/VLOOKUP(DW15,$AQ$4:$AT$27,$AZ$30,FALSE)*100,""),6))</f>
        <v>0.14084199999999999</v>
      </c>
      <c r="EM15" s="551">
        <f>+EM14+1</f>
        <v>12</v>
      </c>
      <c r="EN15" s="677">
        <f>FR15</f>
        <v>12</v>
      </c>
      <c r="EO15" s="660" t="s">
        <v>401</v>
      </c>
      <c r="EP15" s="723">
        <f>VLOOKUP(EN15,$V$4:$Y$27,$EP$33,FALSE)</f>
        <v>1.5347497429843343E-2</v>
      </c>
      <c r="EQ15" s="650">
        <f>EP15*$EQ$28</f>
        <v>120765.88956337096</v>
      </c>
      <c r="ER15" s="723">
        <f>VLOOKUP(EN15,$CI$4:$CP$27,$ER$33,FALSE)</f>
        <v>9.9153076259866618E-3</v>
      </c>
      <c r="ES15" s="650">
        <f>ER15*$ES$28</f>
        <v>10071.236583365941</v>
      </c>
      <c r="ET15" s="723">
        <f>VLOOKUP(EN15,$J$4:$M$27,$ET$33,FALSE)</f>
        <v>1.2075606237393404E-2</v>
      </c>
      <c r="EU15" s="650">
        <f>ET15*$EU$28</f>
        <v>51922.526781765082</v>
      </c>
      <c r="EV15" s="650">
        <f>EQ15+ES15+EU15</f>
        <v>182759.65292850198</v>
      </c>
      <c r="EW15" s="723">
        <f>EV15/$EV$28</f>
        <v>1.3861936595817814E-2</v>
      </c>
      <c r="EX15" s="724">
        <f>IF($AT15=0,0,ROUND(IF(VLOOKUP(EN15,$AQ$4:$AT$27,$AZ$30,FALSE)&lt;&gt;0,EV15/VLOOKUP(EN15,$AQ$4:$AT$27,$AZ$30,FALSE)*100,""),6))</f>
        <v>0.68901299999999999</v>
      </c>
      <c r="FH15" s="551">
        <f>+FH14+1</f>
        <v>12</v>
      </c>
      <c r="FI15" s="670">
        <f>FR15</f>
        <v>12</v>
      </c>
      <c r="FJ15" s="660" t="s">
        <v>401</v>
      </c>
      <c r="FK15" s="723">
        <f>Y15</f>
        <v>1.5347497429843343E-2</v>
      </c>
      <c r="FL15" s="650">
        <f>Y15*$FL$28</f>
        <v>302941.28606766067</v>
      </c>
      <c r="FM15" s="724">
        <f>IF($AT15=0,0,ROUND(IF(VLOOKUP(FI15,$AQ$4:$AT$27,$AZ$30,FALSE)&lt;&gt;0,FL15/VLOOKUP(FI15,$AQ$4:$AT$27,$AZ$30,FALSE)*100,""),6))</f>
        <v>1.142104</v>
      </c>
      <c r="FQ15" s="222">
        <v>12</v>
      </c>
      <c r="FR15" s="670">
        <v>12</v>
      </c>
      <c r="FS15" s="660" t="s">
        <v>401</v>
      </c>
      <c r="FT15" s="650">
        <f>VLOOKUP(FR15,$AQ$4:$AZ$27,$FT$33,FALSE)</f>
        <v>826111.23009046749</v>
      </c>
      <c r="FU15" s="650">
        <f>VLOOKUP(FR15,$BL$4:$BS$86,$FU$33,FALSE)</f>
        <v>303827.64365375036</v>
      </c>
      <c r="FV15" s="650">
        <f>VLOOKUP(FR15,$CI$4:$CQ$27,$FV$33,FALSE)</f>
        <v>248613.61469386338</v>
      </c>
      <c r="FW15" s="650">
        <f>VLOOKUP(FR15,$DH$4:$DP$27,$FW$33,FALSE)</f>
        <v>69250.11653624328</v>
      </c>
      <c r="FX15" s="650">
        <f>VLOOKUP(FR15,$DW$4:$EA$27,$FX$33,FALSE)</f>
        <v>37358.019512877443</v>
      </c>
      <c r="FY15" s="650">
        <f>VLOOKUP(FR15,$EN$4:$EV$28,$FY$34,FALSE)</f>
        <v>182759.65292850198</v>
      </c>
      <c r="FZ15" s="650">
        <f>VLOOKUP(FR15,$FI$4:$FL$27,$FZ$33,FALSE)</f>
        <v>302941.28606766067</v>
      </c>
      <c r="GA15" s="650">
        <f>SUM(FT15:FZ15)</f>
        <v>1970861.5634833646</v>
      </c>
      <c r="GB15" s="747">
        <f>IF($AT15=0,0,ROUND(IF(VLOOKUP(FR15,$AQ$4:$AT$27,$AZ$30,FALSE)&lt;&gt;0,GA15/VLOOKUP(FR15,$AQ$4:$AT$27,$AZ$30,FALSE)*100,""),6))</f>
        <v>7.4302489999999999</v>
      </c>
      <c r="GF15" s="551">
        <f>+GF14+1</f>
        <v>12</v>
      </c>
      <c r="GG15" s="670">
        <f>FR15</f>
        <v>12</v>
      </c>
      <c r="GH15" s="660" t="s">
        <v>401</v>
      </c>
      <c r="GI15" s="724">
        <f>VLOOKUP(GG15,$AQ$4:$AZ$27,$GI$31,FALSE)</f>
        <v>3.1144820000000002</v>
      </c>
      <c r="GJ15" s="724">
        <f>VLOOKUP(GG15,$BL$4:$BS$27,$GJ$31,FALSE)</f>
        <v>1.145446</v>
      </c>
      <c r="GK15" s="724">
        <f>VLOOKUP(GG15,$CI$4:$CQ$27,$GK$31,FALSE)</f>
        <v>0.93728599999999995</v>
      </c>
      <c r="GL15" s="724">
        <f>VLOOKUP(GG15,$DH$4:$DR$27,$GL$31,FALSE)</f>
        <v>0.26107599999999997</v>
      </c>
      <c r="GM15" s="724">
        <f>VLOOKUP(GG15,$DW$4:$EA$27,$GM$31,FALSE)</f>
        <v>0.14084199999999999</v>
      </c>
      <c r="GN15" s="724">
        <f>VLOOKUP(GG15,$EN$4:$EX$28,$GN$31,FALSE)</f>
        <v>0.68901299999999999</v>
      </c>
      <c r="GO15" s="724">
        <f>VLOOKUP(GG15,$FI$4:$FM$27,$GO$31,FALSE)</f>
        <v>1.142104</v>
      </c>
      <c r="GP15" s="724">
        <f>VLOOKUP(GG15,$FR$4:$GB$27,$GP$31,FALSE)</f>
        <v>7.4302489999999999</v>
      </c>
      <c r="GQ15" s="661">
        <f>L15</f>
        <v>26524837.511994332</v>
      </c>
      <c r="GR15" s="530"/>
      <c r="GU15" s="222">
        <f>+GU14+1</f>
        <v>12</v>
      </c>
      <c r="GV15" s="670">
        <f>FR15</f>
        <v>12</v>
      </c>
      <c r="GW15" s="660" t="s">
        <v>401</v>
      </c>
      <c r="GX15" s="663" t="s">
        <v>384</v>
      </c>
      <c r="GY15" s="671">
        <f>GA15</f>
        <v>1970861.5634833646</v>
      </c>
      <c r="GZ15" s="661">
        <f>VLOOKUP(GV15,$GG$4:$GQ$27,$GZ$34,FALSE)</f>
        <v>26524837.511994332</v>
      </c>
      <c r="HA15" s="724">
        <f>IF(GW15="Specialty Containers",$HA$31,ROUND(IF(GZ15&lt;&gt;0,GY15/GZ15*100,0),6))</f>
        <v>7.4302489999999999</v>
      </c>
      <c r="HB15" s="650">
        <f>ROUND(HA15,10)*GZ15/100</f>
        <v>1970861.4739865838</v>
      </c>
      <c r="HC15" s="750">
        <f>HB15-GY15</f>
        <v>-8.9496780885383487E-2</v>
      </c>
      <c r="HD15" s="549"/>
      <c r="HG15" s="549"/>
      <c r="HH15" s="549"/>
      <c r="HI15" s="549"/>
      <c r="HJ15" s="549"/>
      <c r="HK15" s="549"/>
      <c r="HL15" s="549"/>
      <c r="HM15" s="549"/>
      <c r="HP15" s="551">
        <f>+HP14+1</f>
        <v>12</v>
      </c>
      <c r="HQ15" s="762">
        <f>FR15</f>
        <v>12</v>
      </c>
      <c r="HR15" s="660" t="s">
        <v>401</v>
      </c>
      <c r="HS15" s="661">
        <f>L15</f>
        <v>26524837.511994332</v>
      </c>
      <c r="HT15" s="757">
        <f>HA15</f>
        <v>7.4302489999999999</v>
      </c>
      <c r="HU15" s="757">
        <v>6.4709839999999996</v>
      </c>
      <c r="HV15" s="651">
        <f>IF(HU15&lt;&gt;0,HT15/HU15-1,"")</f>
        <v>0.14824097849724249</v>
      </c>
      <c r="HW15" s="757">
        <f>HT15-HU15</f>
        <v>0.95926500000000026</v>
      </c>
      <c r="HX15" s="652">
        <v>10</v>
      </c>
      <c r="IO15" s="551">
        <v>12</v>
      </c>
      <c r="IP15" s="762">
        <v>12</v>
      </c>
      <c r="IQ15" s="660" t="s">
        <v>401</v>
      </c>
      <c r="IR15" s="772">
        <f>GY15</f>
        <v>1970861.5634833646</v>
      </c>
      <c r="IS15" s="773">
        <f>GZ15</f>
        <v>26524837.511994332</v>
      </c>
      <c r="IT15" s="774">
        <f>HA15</f>
        <v>7.4302489999999999</v>
      </c>
      <c r="IU15" s="991">
        <v>0</v>
      </c>
      <c r="IV15" s="661">
        <f>IS15-IU15</f>
        <v>26524837.511994332</v>
      </c>
      <c r="IW15" s="772">
        <f>IU15*$IH$4</f>
        <v>0</v>
      </c>
      <c r="IX15" s="772">
        <f>IR15-IW15</f>
        <v>1970861.5634833646</v>
      </c>
      <c r="IY15" s="455">
        <f>IT15</f>
        <v>7.4302489999999999</v>
      </c>
      <c r="IZ15" s="555">
        <f>IY15</f>
        <v>7.4302489999999999</v>
      </c>
      <c r="JA15" s="772">
        <f>(IY15*IV15+IZ15*IU15)/100</f>
        <v>1970861.4739865838</v>
      </c>
      <c r="JB15" s="778">
        <f>IT15-IY15</f>
        <v>0</v>
      </c>
      <c r="JF15" s="551">
        <f>+JF14+1</f>
        <v>12</v>
      </c>
      <c r="JG15" s="762">
        <f>FR15</f>
        <v>12</v>
      </c>
      <c r="JH15" s="660" t="s">
        <v>401</v>
      </c>
      <c r="JI15" s="661">
        <f>L15</f>
        <v>26524837.511994332</v>
      </c>
      <c r="JJ15" s="757">
        <f>IY15</f>
        <v>7.4302489999999999</v>
      </c>
      <c r="JK15" s="757">
        <v>6.4709839999999996</v>
      </c>
      <c r="JL15" s="651">
        <f>IF(JK15&lt;&gt;0,JJ15/JK15-1,"")</f>
        <v>0.14824097849724249</v>
      </c>
      <c r="JM15" s="757">
        <f>JJ15-JK15</f>
        <v>0.95926500000000026</v>
      </c>
      <c r="JN15" s="652">
        <v>10</v>
      </c>
      <c r="JS15" s="757">
        <v>7.4486800000000004</v>
      </c>
      <c r="JT15" s="757">
        <f>JJ15-JS15</f>
        <v>-1.843100000000053E-2</v>
      </c>
      <c r="JU15" s="1010">
        <v>27254832</v>
      </c>
      <c r="JV15" s="1010">
        <f>JU15-JI15</f>
        <v>729994.48800566792</v>
      </c>
      <c r="JW15" s="1069">
        <f>JT15/JS15</f>
        <v>-2.4743981483968339E-3</v>
      </c>
      <c r="JX15" s="997">
        <v>2030125.2202176002</v>
      </c>
      <c r="JY15" s="997">
        <f>JI15*JJ15/100</f>
        <v>1970861.4739865838</v>
      </c>
      <c r="JZ15" s="516"/>
      <c r="KA15" s="516"/>
      <c r="KB15" s="516"/>
      <c r="KC15" s="516"/>
      <c r="KE15" s="516"/>
      <c r="KF15" s="516"/>
    </row>
    <row r="16" spans="1:292" ht="16.5" x14ac:dyDescent="0.3">
      <c r="E16" s="411"/>
      <c r="I16" s="543">
        <f>+I15+1</f>
        <v>13</v>
      </c>
      <c r="J16" s="654">
        <f>FR16</f>
        <v>13</v>
      </c>
      <c r="K16" s="655" t="s">
        <v>402</v>
      </c>
      <c r="L16" s="991">
        <v>791.7327351730778</v>
      </c>
      <c r="M16" s="657">
        <f>L16/$L$28</f>
        <v>3.6044152017448945E-7</v>
      </c>
      <c r="N16" s="656">
        <v>18</v>
      </c>
      <c r="O16" s="656">
        <f>IFERROR(L16/N16,0)</f>
        <v>43.98515195405988</v>
      </c>
      <c r="P16" s="657">
        <f>O16/$O$28</f>
        <v>2.4650787215187994E-5</v>
      </c>
      <c r="Q16" s="658" t="s">
        <v>379</v>
      </c>
      <c r="U16" s="545">
        <f>+U15+1</f>
        <v>13</v>
      </c>
      <c r="V16" s="669">
        <f>FR16</f>
        <v>13</v>
      </c>
      <c r="W16" s="655" t="s">
        <v>402</v>
      </c>
      <c r="X16" s="646">
        <f>SUM(FT16:FX16)</f>
        <v>1097.8294990402444</v>
      </c>
      <c r="Y16" s="657">
        <f>SUM(FT16:FX16)/SUM($FT$28:$FX$28)</f>
        <v>1.1344857342110034E-5</v>
      </c>
      <c r="AC16" s="545">
        <f>+AC15+1</f>
        <v>13</v>
      </c>
      <c r="AD16" s="678">
        <v>13</v>
      </c>
      <c r="AE16" s="679" t="s">
        <v>402</v>
      </c>
      <c r="AF16" s="680">
        <v>74.84</v>
      </c>
      <c r="AP16" s="545">
        <f>+AP15+1</f>
        <v>13</v>
      </c>
      <c r="AQ16" s="693">
        <f>FR16</f>
        <v>13</v>
      </c>
      <c r="AR16" s="655" t="s">
        <v>402</v>
      </c>
      <c r="AS16" s="655">
        <f>VLOOKUP(AQ16,$AD$4:$AF$27,$AS$30,FALSE)</f>
        <v>74.84</v>
      </c>
      <c r="AT16" s="694">
        <f>L16</f>
        <v>791.7327351730778</v>
      </c>
      <c r="AU16" s="694">
        <f>AT16*AS16/3600</f>
        <v>16.459243861209206</v>
      </c>
      <c r="AV16" s="695">
        <f>AU16*$AL$5/$AU$28</f>
        <v>16.991318554063682</v>
      </c>
      <c r="AW16" s="696">
        <f>$AL$6</f>
        <v>21.592508896755888</v>
      </c>
      <c r="AX16" s="646">
        <f>AV16*AW16</f>
        <v>366.88519704623343</v>
      </c>
      <c r="AY16" s="544">
        <f>AX16/$AX$28</f>
        <v>8.7121155115129157E-6</v>
      </c>
      <c r="AZ16" s="548">
        <f>IF($AT16=0,0,ROUND(IF(VLOOKUP(AQ16,$AQ$4:$AT$27,$AZ$30,FALSE)&lt;&gt;0,AX16/VLOOKUP(AQ16,$AQ$4:$AT$27,$AZ$30,FALSE)*100,""),6))</f>
        <v>46.339525999999999</v>
      </c>
      <c r="BK16" s="543">
        <f>+BK15+1</f>
        <v>13</v>
      </c>
      <c r="BL16" s="658">
        <f>FR16</f>
        <v>13</v>
      </c>
      <c r="BM16" s="655" t="s">
        <v>402</v>
      </c>
      <c r="BN16" s="657">
        <f>VLOOKUP(BL16,$AQ$4:$AY$28,$BN$33,FALSE)</f>
        <v>8.7121155115129157E-6</v>
      </c>
      <c r="BO16" s="646">
        <f>BN16*$BO$28</f>
        <v>83.520550057093828</v>
      </c>
      <c r="BP16" s="657">
        <f>VLOOKUP(BL16,$J$4:$M$27,$BP$33,FALSE)</f>
        <v>3.6044152017448945E-7</v>
      </c>
      <c r="BQ16" s="646">
        <f>BP16*$BQ$28</f>
        <v>3.455449366873768</v>
      </c>
      <c r="BR16" s="708">
        <f>BQ16+BO16</f>
        <v>86.975999423967593</v>
      </c>
      <c r="BS16" s="709">
        <f>IF($AT16=0,0,ROUND(IF(VLOOKUP(BL16,$AQ$4:$AT$27,$AZ$30,FALSE)&lt;&gt;0,BR16/VLOOKUP(BL16,$AQ$4:$AT$27,$AZ$30,FALSE)*100,""),6))</f>
        <v>10.985525000000001</v>
      </c>
      <c r="BV16" s="15"/>
      <c r="BW16" s="190"/>
      <c r="BX16" s="190"/>
      <c r="BY16" s="190"/>
      <c r="BZ16" s="190"/>
      <c r="CA16" s="190"/>
      <c r="CB16" s="190"/>
      <c r="CC16" s="190"/>
      <c r="CD16" s="190"/>
      <c r="CH16" s="543">
        <f>+CH15+1</f>
        <v>13</v>
      </c>
      <c r="CI16" s="678">
        <f>FR16</f>
        <v>13</v>
      </c>
      <c r="CJ16" s="655" t="s">
        <v>402</v>
      </c>
      <c r="CK16" s="657">
        <f>VLOOKUP(CI16,$J$4:$M$27,$CK$32,FALSE)</f>
        <v>3.6044152017448945E-7</v>
      </c>
      <c r="CL16" s="646">
        <f>CK16*$CL$28</f>
        <v>2.1128140356056404</v>
      </c>
      <c r="CM16" s="657">
        <f>VLOOKUP(CI16,$J$4:$P$27,$CM$32,FALSE)</f>
        <v>2.4650787215187994E-5</v>
      </c>
      <c r="CN16" s="646">
        <f>CM16*$CN$28</f>
        <v>473.59038047797208</v>
      </c>
      <c r="CO16" s="646">
        <f>CN16+CL16</f>
        <v>475.70319451357773</v>
      </c>
      <c r="CP16" s="657">
        <f>CO16/$CO$28</f>
        <v>1.8972185083567424E-5</v>
      </c>
      <c r="CQ16" s="709">
        <f>IF($AT16=0,0,ROUND(IF(VLOOKUP(CI16,$AQ$4:$AT$27,$AZ$30,FALSE)&lt;&gt;0,CO16/VLOOKUP(CI16,$AQ$4:$AT$27,$AZ$30,FALSE)*100,""),6))</f>
        <v>60.08381</v>
      </c>
      <c r="DD16" s="15"/>
      <c r="DG16" s="545">
        <f>+DG15+1</f>
        <v>13</v>
      </c>
      <c r="DH16" s="739">
        <f>FR16</f>
        <v>13</v>
      </c>
      <c r="DI16" s="655" t="s">
        <v>402</v>
      </c>
      <c r="DJ16" s="657">
        <f>VLOOKUP(DH16,$CI$4:$CP$27,$DJ$33,FALSE)</f>
        <v>1.8972185083567424E-5</v>
      </c>
      <c r="DK16" s="646">
        <f>DJ16*$DK$28</f>
        <v>7.1467222243906283</v>
      </c>
      <c r="DL16" s="657">
        <f>VLOOKUP(DH16,$J$4:$Q$27,$DL$33,FALSE)</f>
        <v>2.4650787215187994E-5</v>
      </c>
      <c r="DM16" s="646">
        <f>DL16*$DM$28</f>
        <v>60.348467514839335</v>
      </c>
      <c r="DN16" s="657">
        <f>VLOOKUP(DH16,$J$4:$Q$27,$DN$33,FALSE)</f>
        <v>3.6044152017448945E-7</v>
      </c>
      <c r="DO16" s="646">
        <f>DN16*$DO$28</f>
        <v>1.2791579399411814</v>
      </c>
      <c r="DP16" s="646">
        <f>DK16+DM16+DO16</f>
        <v>68.774347679171143</v>
      </c>
      <c r="DQ16" s="657">
        <f>DP16/$DP$28</f>
        <v>1.0790343072763171E-5</v>
      </c>
      <c r="DR16" s="709">
        <f>IF($AT16=0,0,ROUND(IF(VLOOKUP(DH16,$AQ$4:$AT$27,$AZ$30,FALSE)&lt;&gt;0,DP16/VLOOKUP(DH16,$AQ$4:$AT$27,$AZ$30,FALSE)*100,""),6))</f>
        <v>8.6865609999999993</v>
      </c>
      <c r="DV16" s="545">
        <f>+DV15+1</f>
        <v>13</v>
      </c>
      <c r="DW16" s="739">
        <f>GG16</f>
        <v>13</v>
      </c>
      <c r="DX16" s="655" t="s">
        <v>402</v>
      </c>
      <c r="DY16" s="657">
        <f>VLOOKUP(DW16,$J$4:$Q$27,$DY$33,FALSE)</f>
        <v>2.4650787215187994E-5</v>
      </c>
      <c r="DZ16" s="646">
        <f>DY16*$DZ$28</f>
        <v>99.490760377294379</v>
      </c>
      <c r="EA16" s="709">
        <f>IF($AT16=0,0,ROUND(IF(VLOOKUP(DW16,$AQ$4:$AT$27,$AZ$30,FALSE)&lt;&gt;0,DZ16/VLOOKUP(DW16,$AQ$4:$AT$27,$AZ$30,FALSE)*100,""),6))</f>
        <v>12.566205</v>
      </c>
      <c r="EM16" s="545">
        <f>+EM15+1</f>
        <v>13</v>
      </c>
      <c r="EN16" s="739">
        <f>FR16</f>
        <v>13</v>
      </c>
      <c r="EO16" s="655" t="s">
        <v>402</v>
      </c>
      <c r="EP16" s="657">
        <f>VLOOKUP(EN16,$V$4:$Y$27,$EP$33,FALSE)</f>
        <v>1.1344857342110034E-5</v>
      </c>
      <c r="EQ16" s="646">
        <f>EP16*$EQ$28</f>
        <v>89.270045175270198</v>
      </c>
      <c r="ER16" s="657">
        <f>VLOOKUP(EN16,$CI$4:$CP$27,$ER$33,FALSE)</f>
        <v>1.8972185083567424E-5</v>
      </c>
      <c r="ES16" s="646">
        <f>ER16*$ES$28</f>
        <v>19.270543253669381</v>
      </c>
      <c r="ET16" s="657">
        <f>VLOOKUP(EN16,$J$4:$M$27,$ET$33,FALSE)</f>
        <v>3.6044152017448945E-7</v>
      </c>
      <c r="EU16" s="646">
        <f>ET16*$EU$28</f>
        <v>1.5498215258598731</v>
      </c>
      <c r="EV16" s="646">
        <f>EQ16+ES16+EU16</f>
        <v>110.09040995479944</v>
      </c>
      <c r="EW16" s="657">
        <f>EV16/$EV$28</f>
        <v>8.3501268367916932E-6</v>
      </c>
      <c r="EX16" s="709">
        <f>IF($AT16=0,0,ROUND(IF(VLOOKUP(EN16,$AQ$4:$AT$27,$AZ$30,FALSE)&lt;&gt;0,EV16/VLOOKUP(EN16,$AQ$4:$AT$27,$AZ$30,FALSE)*100,""),6))</f>
        <v>13.904997</v>
      </c>
      <c r="FH16" s="545">
        <f>+FH15+1</f>
        <v>13</v>
      </c>
      <c r="FI16" s="669">
        <f>FR16</f>
        <v>13</v>
      </c>
      <c r="FJ16" s="655" t="s">
        <v>402</v>
      </c>
      <c r="FK16" s="657">
        <f>Y16</f>
        <v>1.1344857342110034E-5</v>
      </c>
      <c r="FL16" s="646">
        <f>Y16*$FL$28</f>
        <v>223.93394683292266</v>
      </c>
      <c r="FM16" s="709">
        <f>IF($AT16=0,0,ROUND(IF(VLOOKUP(FI16,$AQ$4:$AT$27,$AZ$30,FALSE)&lt;&gt;0,FL16/VLOOKUP(FI16,$AQ$4:$AT$27,$AZ$30,FALSE)*100,""),6))</f>
        <v>28.284033000000001</v>
      </c>
      <c r="FQ16" s="543">
        <v>13</v>
      </c>
      <c r="FR16" s="669">
        <v>13</v>
      </c>
      <c r="FS16" s="655" t="s">
        <v>402</v>
      </c>
      <c r="FT16" s="646">
        <f>VLOOKUP(FR16,$AQ$4:$AZ$27,$FT$33,FALSE)</f>
        <v>366.88519704623343</v>
      </c>
      <c r="FU16" s="646">
        <f>VLOOKUP(FR16,$BL$4:$BS$86,$FU$33,FALSE)</f>
        <v>86.975999423967593</v>
      </c>
      <c r="FV16" s="646">
        <f>VLOOKUP(FR16,$CI$4:$CQ$27,$FV$33,FALSE)</f>
        <v>475.70319451357773</v>
      </c>
      <c r="FW16" s="646">
        <f>VLOOKUP(FR16,$DH$4:$DP$27,$FW$33,FALSE)</f>
        <v>68.774347679171143</v>
      </c>
      <c r="FX16" s="646">
        <f>VLOOKUP(FR16,$DW$4:$EA$27,$FX$33,FALSE)</f>
        <v>99.490760377294379</v>
      </c>
      <c r="FY16" s="646">
        <f>VLOOKUP(FR16,$EN$4:$EV$28,$FY$34,FALSE)</f>
        <v>110.09040995479944</v>
      </c>
      <c r="FZ16" s="646">
        <f>VLOOKUP(FR16,$FI$4:$FL$27,$FZ$33,FALSE)</f>
        <v>223.93394683292266</v>
      </c>
      <c r="GA16" s="646">
        <f>SUM(FT16:FZ16)</f>
        <v>1431.8538558279665</v>
      </c>
      <c r="GB16" s="746">
        <f>IF($AT16=0,0,ROUND(IF(VLOOKUP(FR16,$AQ$4:$AT$27,$AZ$30,FALSE)&lt;&gt;0,GA16/VLOOKUP(FR16,$AQ$4:$AT$27,$AZ$30,FALSE)*100,""),6))</f>
        <v>180.85065700000001</v>
      </c>
      <c r="GF16" s="545">
        <f>+GF15+1</f>
        <v>13</v>
      </c>
      <c r="GG16" s="669">
        <f>FR16</f>
        <v>13</v>
      </c>
      <c r="GH16" s="655" t="s">
        <v>402</v>
      </c>
      <c r="GI16" s="709">
        <f>VLOOKUP(GG16,$AQ$4:$AZ$27,$GI$31,FALSE)</f>
        <v>46.339525999999999</v>
      </c>
      <c r="GJ16" s="709">
        <f>VLOOKUP(GG16,$BL$4:$BS$27,$GJ$31,FALSE)</f>
        <v>10.985525000000001</v>
      </c>
      <c r="GK16" s="709">
        <f>VLOOKUP(GG16,$CI$4:$CQ$27,$GK$31,FALSE)</f>
        <v>60.08381</v>
      </c>
      <c r="GL16" s="709">
        <f>VLOOKUP(GG16,$DH$4:$DR$27,$GL$31,FALSE)</f>
        <v>8.6865609999999993</v>
      </c>
      <c r="GM16" s="709">
        <f>VLOOKUP(GG16,$DW$4:$EA$27,$GM$31,FALSE)</f>
        <v>12.566205</v>
      </c>
      <c r="GN16" s="709">
        <f>VLOOKUP(GG16,$EN$4:$EX$28,$GN$31,FALSE)</f>
        <v>13.904997</v>
      </c>
      <c r="GO16" s="709">
        <f>VLOOKUP(GG16,$FI$4:$FM$27,$GO$31,FALSE)</f>
        <v>28.284033000000001</v>
      </c>
      <c r="GP16" s="709">
        <f>VLOOKUP(GG16,$FR$4:$GB$27,$GP$31,FALSE)</f>
        <v>180.85065700000001</v>
      </c>
      <c r="GQ16" s="656">
        <f>L16</f>
        <v>791.7327351730778</v>
      </c>
      <c r="GR16" s="530"/>
      <c r="GU16" s="543">
        <f>+GU15+1</f>
        <v>13</v>
      </c>
      <c r="GV16" s="669">
        <f>FR16</f>
        <v>13</v>
      </c>
      <c r="GW16" s="655" t="s">
        <v>402</v>
      </c>
      <c r="GX16" s="658" t="s">
        <v>379</v>
      </c>
      <c r="GY16" s="646">
        <f>GA16</f>
        <v>1431.8538558279665</v>
      </c>
      <c r="GZ16" s="656">
        <f>VLOOKUP(GV16,$GG$4:$GQ$27,$GZ$34,FALSE)</f>
        <v>791.7327351730778</v>
      </c>
      <c r="HA16" s="709">
        <f>IF(GW16="Specialty Containers",$HA$31,ROUND(IF(GZ16&lt;&gt;0,GY16/GZ16*100,0),6))</f>
        <v>180.85065700000001</v>
      </c>
      <c r="HB16" s="646">
        <f>ROUND(HA16,10)*GZ16/100</f>
        <v>1431.8538532445812</v>
      </c>
      <c r="HC16" s="749">
        <f>HB16-GY16</f>
        <v>-2.5833853669610107E-6</v>
      </c>
      <c r="HD16" s="549"/>
      <c r="HG16" s="549"/>
      <c r="HH16" s="549"/>
      <c r="HI16" s="549"/>
      <c r="HJ16" s="549"/>
      <c r="HK16" s="549"/>
      <c r="HL16" s="549"/>
      <c r="HM16" s="549"/>
      <c r="HP16" s="545">
        <f>+HP15+1</f>
        <v>13</v>
      </c>
      <c r="HQ16" s="761">
        <f>FR16</f>
        <v>13</v>
      </c>
      <c r="HR16" s="655" t="s">
        <v>402</v>
      </c>
      <c r="HS16" s="656">
        <f>L16</f>
        <v>791.7327351730778</v>
      </c>
      <c r="HT16" s="756">
        <f>HA16</f>
        <v>180.85065700000001</v>
      </c>
      <c r="HU16" s="756">
        <v>110.337915</v>
      </c>
      <c r="HV16" s="647">
        <f>IF(HU16&lt;&gt;0,HT16/HU16-1,"")</f>
        <v>0.63906175859857428</v>
      </c>
      <c r="HW16" s="756">
        <f>HT16-HU16</f>
        <v>70.512742000000017</v>
      </c>
      <c r="HX16" s="648">
        <v>10</v>
      </c>
      <c r="IO16" s="545">
        <v>13</v>
      </c>
      <c r="IP16" s="761">
        <v>13</v>
      </c>
      <c r="IQ16" s="655" t="s">
        <v>402</v>
      </c>
      <c r="IR16" s="769">
        <f>GY16</f>
        <v>1431.8538558279665</v>
      </c>
      <c r="IS16" s="770">
        <f>GZ16</f>
        <v>791.7327351730778</v>
      </c>
      <c r="IT16" s="771">
        <f>HA16</f>
        <v>180.85065700000001</v>
      </c>
      <c r="IU16" s="656">
        <f>IS16*$IJ$4/(1-$IK$4)</f>
        <v>115.72826318587153</v>
      </c>
      <c r="IV16" s="656">
        <f>IS16-IU16</f>
        <v>676.00447198720622</v>
      </c>
      <c r="IW16" s="769">
        <f>IU16*$IH$4</f>
        <v>1.7359239477880728</v>
      </c>
      <c r="IX16" s="769">
        <f>IR16-IW16</f>
        <v>1430.1179318801785</v>
      </c>
      <c r="IY16" s="550">
        <f>IX16/IS16*100</f>
        <v>180.63140102038923</v>
      </c>
      <c r="IZ16" s="550">
        <f>IY16+1.5</f>
        <v>182.13140102038923</v>
      </c>
      <c r="JA16" s="769">
        <f>(IY16*IV16+IZ16*IU16)/100</f>
        <v>1431.8538558279665</v>
      </c>
      <c r="JB16" s="746">
        <f>IT16-IY16</f>
        <v>0.2192559796107787</v>
      </c>
      <c r="JF16" s="545">
        <f>+JF15+1</f>
        <v>13</v>
      </c>
      <c r="JG16" s="761">
        <f>FR16</f>
        <v>13</v>
      </c>
      <c r="JH16" s="655" t="s">
        <v>402</v>
      </c>
      <c r="JI16" s="656">
        <f>L16</f>
        <v>791.7327351730778</v>
      </c>
      <c r="JJ16" s="756">
        <f>IY16</f>
        <v>180.63140102038923</v>
      </c>
      <c r="JK16" s="756">
        <v>110.11568161602861</v>
      </c>
      <c r="JL16" s="647">
        <f>IF(JK16&lt;&gt;0,JJ16/JK16-1,"")</f>
        <v>0.64037853981822201</v>
      </c>
      <c r="JM16" s="756">
        <f>JJ16-JK16</f>
        <v>70.515719404360624</v>
      </c>
      <c r="JN16" s="648">
        <v>10</v>
      </c>
      <c r="JS16" s="756">
        <v>181.29591129167954</v>
      </c>
      <c r="JT16" s="756">
        <f>JJ16-JS16</f>
        <v>-0.66451027129031104</v>
      </c>
      <c r="JU16" s="1009">
        <v>849</v>
      </c>
      <c r="JV16" s="1009">
        <f>JU16-JI16</f>
        <v>57.267264826922201</v>
      </c>
      <c r="JW16" s="1069">
        <f>JT16/JS16</f>
        <v>-3.665335122871071E-3</v>
      </c>
      <c r="JX16" s="997">
        <v>1539.2022868663594</v>
      </c>
      <c r="JY16" s="997">
        <f>JI16*JJ16/100</f>
        <v>1430.1179318801785</v>
      </c>
      <c r="JZ16" s="516"/>
      <c r="KA16" s="516"/>
      <c r="KB16" s="516"/>
      <c r="KC16" s="516"/>
      <c r="KE16" s="516"/>
      <c r="KF16" s="516"/>
    </row>
    <row r="17" spans="2:292" ht="16.5" x14ac:dyDescent="0.3">
      <c r="I17" s="222">
        <f>+I16+1</f>
        <v>14</v>
      </c>
      <c r="J17" s="659">
        <f>FR17</f>
        <v>14</v>
      </c>
      <c r="K17" s="660" t="s">
        <v>403</v>
      </c>
      <c r="L17" s="991">
        <v>3807462</v>
      </c>
      <c r="M17" s="662">
        <f>L17/$L$28</f>
        <v>1.7333720462961453E-3</v>
      </c>
      <c r="N17" s="661">
        <v>1177</v>
      </c>
      <c r="O17" s="661">
        <f>IFERROR(L17/N17,0)</f>
        <v>3234.8870008496178</v>
      </c>
      <c r="P17" s="662">
        <f>O17/$O$28</f>
        <v>1.812941585524323E-3</v>
      </c>
      <c r="Q17" s="663" t="s">
        <v>384</v>
      </c>
      <c r="U17" s="551">
        <f>+U16+1</f>
        <v>14</v>
      </c>
      <c r="V17" s="670">
        <f>FR17</f>
        <v>14</v>
      </c>
      <c r="W17" s="660" t="s">
        <v>403</v>
      </c>
      <c r="X17" s="671">
        <f>SUM(FT17:FX17)</f>
        <v>235030.09462449132</v>
      </c>
      <c r="Y17" s="662">
        <f>SUM(FT17:FX17)/SUM($FT$28:$FX$28)</f>
        <v>2.4287768701319362E-3</v>
      </c>
      <c r="AC17" s="551">
        <f>+AC16+1</f>
        <v>14</v>
      </c>
      <c r="AD17" s="681">
        <v>14</v>
      </c>
      <c r="AE17" s="682" t="s">
        <v>403</v>
      </c>
      <c r="AF17" s="683">
        <v>5.35</v>
      </c>
      <c r="AP17" s="551">
        <f>+AP16+1</f>
        <v>14</v>
      </c>
      <c r="AQ17" s="697">
        <f>FR17</f>
        <v>14</v>
      </c>
      <c r="AR17" s="660" t="s">
        <v>403</v>
      </c>
      <c r="AS17" s="660">
        <f>VLOOKUP(AQ17,$AD$4:$AF$27,$AS$30,FALSE)</f>
        <v>5.35</v>
      </c>
      <c r="AT17" s="698">
        <f>L17</f>
        <v>3807462</v>
      </c>
      <c r="AU17" s="698">
        <f>AT17*AS17/3600</f>
        <v>5658.3115833333331</v>
      </c>
      <c r="AV17" s="699">
        <f>AU17*$AL$5/$AU$28</f>
        <v>5841.2266931138274</v>
      </c>
      <c r="AW17" s="700">
        <f>$AL$6</f>
        <v>21.592508896755888</v>
      </c>
      <c r="AX17" s="671">
        <f>AV17*AW17</f>
        <v>126126.7393390283</v>
      </c>
      <c r="AY17" s="465">
        <f>AX17/$AX$28</f>
        <v>2.9950260491802411E-3</v>
      </c>
      <c r="AZ17" s="553">
        <f>IF($AT17=0,0,ROUND(IF(VLOOKUP(AQ17,$AQ$4:$AT$27,$AZ$30,FALSE)&lt;&gt;0,AX17/VLOOKUP(AQ17,$AQ$4:$AT$27,$AZ$30,FALSE)*100,""),6))</f>
        <v>3.3126199999999999</v>
      </c>
      <c r="BK17" s="222">
        <f>+BK16+1</f>
        <v>14</v>
      </c>
      <c r="BL17" s="663">
        <f>FR17</f>
        <v>14</v>
      </c>
      <c r="BM17" s="660" t="s">
        <v>403</v>
      </c>
      <c r="BN17" s="662">
        <f>VLOOKUP(BL17,$AQ$4:$AY$28,$BN$33,FALSE)</f>
        <v>2.9950260491802411E-3</v>
      </c>
      <c r="BO17" s="671">
        <f>BN17*$BO$28</f>
        <v>28712.454825959801</v>
      </c>
      <c r="BP17" s="662">
        <f>VLOOKUP(BL17,$J$4:$M$27,$BP$33,FALSE)</f>
        <v>1.7333720462961453E-3</v>
      </c>
      <c r="BQ17" s="671">
        <f>BP17*$BQ$28</f>
        <v>16617.340136150666</v>
      </c>
      <c r="BR17" s="710">
        <f>BQ17+BO17</f>
        <v>45329.794962110464</v>
      </c>
      <c r="BS17" s="711">
        <f>IF($AT17=0,0,ROUND(IF(VLOOKUP(BL17,$AQ$4:$AT$27,$AZ$30,FALSE)&lt;&gt;0,BR17/VLOOKUP(BL17,$AQ$4:$AT$27,$AZ$30,FALSE)*100,""),6))</f>
        <v>1.1905509999999999</v>
      </c>
      <c r="BV17" s="15"/>
      <c r="BW17" s="190"/>
      <c r="BX17" s="190"/>
      <c r="BY17" s="190"/>
      <c r="BZ17" s="190"/>
      <c r="CA17" s="190"/>
      <c r="CB17" s="190"/>
      <c r="CC17" s="190"/>
      <c r="CD17" s="190"/>
      <c r="CH17" s="222">
        <f>+CH16+1</f>
        <v>14</v>
      </c>
      <c r="CI17" s="681">
        <f>FR17</f>
        <v>14</v>
      </c>
      <c r="CJ17" s="660" t="s">
        <v>403</v>
      </c>
      <c r="CK17" s="723">
        <f>VLOOKUP(CI17,$J$4:$M$27,$CK$32,FALSE)</f>
        <v>1.7333720462961453E-3</v>
      </c>
      <c r="CL17" s="650">
        <f>CK17*$CL$28</f>
        <v>10160.574138540012</v>
      </c>
      <c r="CM17" s="723">
        <f>VLOOKUP(CI17,$J$4:$P$27,$CM$32,FALSE)</f>
        <v>1.812941585524323E-3</v>
      </c>
      <c r="CN17" s="650">
        <f>CM17*$CN$28</f>
        <v>34830.193769381985</v>
      </c>
      <c r="CO17" s="650">
        <f>CN17+CL17</f>
        <v>44990.767907921996</v>
      </c>
      <c r="CP17" s="723">
        <f>CO17/$CO$28</f>
        <v>1.7943398018878736E-3</v>
      </c>
      <c r="CQ17" s="724">
        <f>IF($AT17=0,0,ROUND(IF(VLOOKUP(CI17,$AQ$4:$AT$27,$AZ$30,FALSE)&lt;&gt;0,CO17/VLOOKUP(CI17,$AQ$4:$AT$27,$AZ$30,FALSE)*100,""),6))</f>
        <v>1.1816469999999999</v>
      </c>
      <c r="DD17" s="15"/>
      <c r="DG17" s="551">
        <f>+DG16+1</f>
        <v>14</v>
      </c>
      <c r="DH17" s="677">
        <f>FR17</f>
        <v>14</v>
      </c>
      <c r="DI17" s="660" t="s">
        <v>403</v>
      </c>
      <c r="DJ17" s="723">
        <f>VLOOKUP(DH17,$CI$4:$CP$27,$DJ$33,FALSE)</f>
        <v>1.7943398018878736E-3</v>
      </c>
      <c r="DK17" s="650">
        <f>DJ17*$DK$28</f>
        <v>675.91835541219882</v>
      </c>
      <c r="DL17" s="723">
        <f>VLOOKUP(DH17,$J$4:$Q$27,$DL$33,FALSE)</f>
        <v>1.812941585524323E-3</v>
      </c>
      <c r="DM17" s="650">
        <f>DL17*$DM$28</f>
        <v>4438.3266718925161</v>
      </c>
      <c r="DN17" s="723">
        <f>VLOOKUP(DH17,$J$4:$Q$27,$DN$33,FALSE)</f>
        <v>1.7333720462961453E-3</v>
      </c>
      <c r="DO17" s="650">
        <f>DN17*$DO$28</f>
        <v>6151.501677216419</v>
      </c>
      <c r="DP17" s="650">
        <f>DK17+DM17+DO17</f>
        <v>11265.746704521134</v>
      </c>
      <c r="DQ17" s="723">
        <f>DP17/$DP$28</f>
        <v>1.76753798494333E-3</v>
      </c>
      <c r="DR17" s="724">
        <f>IF($AT17=0,0,ROUND(IF(VLOOKUP(DH17,$AQ$4:$AT$27,$AZ$30,FALSE)&lt;&gt;0,DP17/VLOOKUP(DH17,$AQ$4:$AT$27,$AZ$30,FALSE)*100,""),6))</f>
        <v>0.29588599999999998</v>
      </c>
      <c r="DV17" s="551">
        <f>+DV16+1</f>
        <v>14</v>
      </c>
      <c r="DW17" s="677">
        <f>GG17</f>
        <v>14</v>
      </c>
      <c r="DX17" s="660" t="s">
        <v>403</v>
      </c>
      <c r="DY17" s="723">
        <f>VLOOKUP(DW17,$J$4:$Q$27,$DY$33,FALSE)</f>
        <v>1.812941585524323E-3</v>
      </c>
      <c r="DZ17" s="650">
        <f>DY17*$DZ$28</f>
        <v>7317.0457109094395</v>
      </c>
      <c r="EA17" s="724">
        <f>IF($AT17=0,0,ROUND(IF(VLOOKUP(DW17,$AQ$4:$AT$27,$AZ$30,FALSE)&lt;&gt;0,DZ17/VLOOKUP(DW17,$AQ$4:$AT$27,$AZ$30,FALSE)*100,""),6))</f>
        <v>0.19217600000000001</v>
      </c>
      <c r="EM17" s="551">
        <f>+EM16+1</f>
        <v>14</v>
      </c>
      <c r="EN17" s="677">
        <f>FR17</f>
        <v>14</v>
      </c>
      <c r="EO17" s="660" t="s">
        <v>403</v>
      </c>
      <c r="EP17" s="723">
        <f>VLOOKUP(EN17,$V$4:$Y$27,$EP$33,FALSE)</f>
        <v>2.4287768701319362E-3</v>
      </c>
      <c r="EQ17" s="650">
        <f>EP17*$EQ$28</f>
        <v>19111.480592404121</v>
      </c>
      <c r="ER17" s="723">
        <f>VLOOKUP(EN17,$CI$4:$CP$27,$ER$33,FALSE)</f>
        <v>1.7943398018878736E-3</v>
      </c>
      <c r="ES17" s="650">
        <f>ER17*$ES$28</f>
        <v>1822.5577397518718</v>
      </c>
      <c r="ET17" s="723">
        <f>VLOOKUP(EN17,$J$4:$M$27,$ET$33,FALSE)</f>
        <v>1.7333720462961453E-3</v>
      </c>
      <c r="EU17" s="650">
        <f>ET17*$EU$28</f>
        <v>7453.1294518263321</v>
      </c>
      <c r="EV17" s="650">
        <f>EQ17+ES17+EU17</f>
        <v>28387.167783982324</v>
      </c>
      <c r="EW17" s="723">
        <f>EV17/$EV$28</f>
        <v>2.1531071746472836E-3</v>
      </c>
      <c r="EX17" s="724">
        <f>IF($AT17=0,0,ROUND(IF(VLOOKUP(EN17,$AQ$4:$AT$27,$AZ$30,FALSE)&lt;&gt;0,EV17/VLOOKUP(EN17,$AQ$4:$AT$27,$AZ$30,FALSE)*100,""),6))</f>
        <v>0.74556699999999998</v>
      </c>
      <c r="FH17" s="551">
        <f>+FH16+1</f>
        <v>14</v>
      </c>
      <c r="FI17" s="670">
        <f>FR17</f>
        <v>14</v>
      </c>
      <c r="FJ17" s="660" t="s">
        <v>403</v>
      </c>
      <c r="FK17" s="723">
        <f>Y17</f>
        <v>2.4287768701319362E-3</v>
      </c>
      <c r="FL17" s="650">
        <f>Y17*$FL$28</f>
        <v>47941.157310665651</v>
      </c>
      <c r="FM17" s="724">
        <f>IF($AT17=0,0,ROUND(IF(VLOOKUP(FI17,$AQ$4:$AT$27,$AZ$30,FALSE)&lt;&gt;0,FL17/VLOOKUP(FI17,$AQ$4:$AT$27,$AZ$30,FALSE)*100,""),6))</f>
        <v>1.259137</v>
      </c>
      <c r="FQ17" s="222">
        <v>14</v>
      </c>
      <c r="FR17" s="670">
        <v>14</v>
      </c>
      <c r="FS17" s="660" t="s">
        <v>403</v>
      </c>
      <c r="FT17" s="650">
        <f>VLOOKUP(FR17,$AQ$4:$AZ$27,$FT$33,FALSE)</f>
        <v>126126.7393390283</v>
      </c>
      <c r="FU17" s="650">
        <f>VLOOKUP(FR17,$BL$4:$BS$86,$FU$33,FALSE)</f>
        <v>45329.794962110464</v>
      </c>
      <c r="FV17" s="650">
        <f>VLOOKUP(FR17,$CI$4:$CQ$27,$FV$33,FALSE)</f>
        <v>44990.767907921996</v>
      </c>
      <c r="FW17" s="650">
        <f>VLOOKUP(FR17,$DH$4:$DP$27,$FW$33,FALSE)</f>
        <v>11265.746704521134</v>
      </c>
      <c r="FX17" s="650">
        <f>VLOOKUP(FR17,$DW$4:$EA$27,$FX$33,FALSE)</f>
        <v>7317.0457109094395</v>
      </c>
      <c r="FY17" s="650">
        <f>VLOOKUP(FR17,$EN$4:$EV$28,$FY$34,FALSE)</f>
        <v>28387.167783982324</v>
      </c>
      <c r="FZ17" s="650">
        <f>VLOOKUP(FR17,$FI$4:$FL$27,$FZ$33,FALSE)</f>
        <v>47941.157310665651</v>
      </c>
      <c r="GA17" s="650">
        <f>SUM(FT17:FZ17)</f>
        <v>311358.41971913929</v>
      </c>
      <c r="GB17" s="747">
        <f>IF($AT17=0,0,ROUND(IF(VLOOKUP(FR17,$AQ$4:$AT$27,$AZ$30,FALSE)&lt;&gt;0,GA17/VLOOKUP(FR17,$AQ$4:$AT$27,$AZ$30,FALSE)*100,""),6))</f>
        <v>8.1775839999999995</v>
      </c>
      <c r="GF17" s="551">
        <f>+GF16+1</f>
        <v>14</v>
      </c>
      <c r="GG17" s="670">
        <f>FR17</f>
        <v>14</v>
      </c>
      <c r="GH17" s="660" t="s">
        <v>403</v>
      </c>
      <c r="GI17" s="724">
        <f>VLOOKUP(GG17,$AQ$4:$AZ$27,$GI$31,FALSE)</f>
        <v>3.3126199999999999</v>
      </c>
      <c r="GJ17" s="724">
        <f>VLOOKUP(GG17,$BL$4:$BS$27,$GJ$31,FALSE)</f>
        <v>1.1905509999999999</v>
      </c>
      <c r="GK17" s="724">
        <f>VLOOKUP(GG17,$CI$4:$CQ$27,$GK$31,FALSE)</f>
        <v>1.1816469999999999</v>
      </c>
      <c r="GL17" s="724">
        <f>VLOOKUP(GG17,$DH$4:$DR$27,$GL$31,FALSE)</f>
        <v>0.29588599999999998</v>
      </c>
      <c r="GM17" s="724">
        <f>VLOOKUP(GG17,$DW$4:$EA$27,$GM$31,FALSE)</f>
        <v>0.19217600000000001</v>
      </c>
      <c r="GN17" s="724">
        <f>VLOOKUP(GG17,$EN$4:$EX$28,$GN$31,FALSE)</f>
        <v>0.74556699999999998</v>
      </c>
      <c r="GO17" s="724">
        <f>VLOOKUP(GG17,$FI$4:$FM$27,$GO$31,FALSE)</f>
        <v>1.259137</v>
      </c>
      <c r="GP17" s="724">
        <f>VLOOKUP(GG17,$FR$4:$GB$27,$GP$31,FALSE)</f>
        <v>8.1775839999999995</v>
      </c>
      <c r="GQ17" s="661">
        <f>L17</f>
        <v>3807462</v>
      </c>
      <c r="GR17" s="530"/>
      <c r="GU17" s="222">
        <f>+GU16+1</f>
        <v>14</v>
      </c>
      <c r="GV17" s="670">
        <f>FR17</f>
        <v>14</v>
      </c>
      <c r="GW17" s="660" t="s">
        <v>403</v>
      </c>
      <c r="GX17" s="663" t="s">
        <v>384</v>
      </c>
      <c r="GY17" s="671">
        <f>GA17</f>
        <v>311358.41971913929</v>
      </c>
      <c r="GZ17" s="661">
        <f>VLOOKUP(GV17,$GG$4:$GQ$27,$GZ$34,FALSE)</f>
        <v>3807462</v>
      </c>
      <c r="HA17" s="724">
        <f>IF(GW17="Specialty Containers",$HA$31,ROUND(IF(GZ17&lt;&gt;0,GY17/GZ17*100,0),6))</f>
        <v>8.1775839999999995</v>
      </c>
      <c r="HB17" s="650">
        <f>ROUND(HA17,10)*GZ17/100</f>
        <v>311358.40331807995</v>
      </c>
      <c r="HC17" s="750">
        <f>HB17-GY17</f>
        <v>-1.6401059343479574E-2</v>
      </c>
      <c r="HD17" s="549"/>
      <c r="HG17" s="549"/>
      <c r="HH17" s="549"/>
      <c r="HI17" s="549"/>
      <c r="HJ17" s="549"/>
      <c r="HK17" s="549"/>
      <c r="HL17" s="549"/>
      <c r="HM17" s="549"/>
      <c r="HP17" s="551">
        <f>+HP16+1</f>
        <v>14</v>
      </c>
      <c r="HQ17" s="762">
        <f>FR17</f>
        <v>14</v>
      </c>
      <c r="HR17" s="660" t="s">
        <v>403</v>
      </c>
      <c r="HS17" s="661">
        <f>L17</f>
        <v>3807462</v>
      </c>
      <c r="HT17" s="757">
        <f>HA17</f>
        <v>8.1775839999999995</v>
      </c>
      <c r="HU17" s="757">
        <v>7.1058779999999997</v>
      </c>
      <c r="HV17" s="651">
        <f>IF(HU17&lt;&gt;0,HT17/HU17-1,"")</f>
        <v>0.1508196453696502</v>
      </c>
      <c r="HW17" s="757">
        <f>HT17-HU17</f>
        <v>1.0717059999999998</v>
      </c>
      <c r="HX17" s="652">
        <v>10</v>
      </c>
      <c r="IO17" s="551">
        <v>14</v>
      </c>
      <c r="IP17" s="762">
        <v>14</v>
      </c>
      <c r="IQ17" s="660" t="s">
        <v>403</v>
      </c>
      <c r="IR17" s="772">
        <f>GY17</f>
        <v>311358.41971913929</v>
      </c>
      <c r="IS17" s="773">
        <f>GZ17</f>
        <v>3807462</v>
      </c>
      <c r="IT17" s="774">
        <f>HA17</f>
        <v>8.1775839999999995</v>
      </c>
      <c r="IU17" s="991">
        <v>0</v>
      </c>
      <c r="IV17" s="661">
        <f>IS17-IU17</f>
        <v>3807462</v>
      </c>
      <c r="IW17" s="772">
        <f>IU17*$IH$4</f>
        <v>0</v>
      </c>
      <c r="IX17" s="772">
        <f>IR17-IW17</f>
        <v>311358.41971913929</v>
      </c>
      <c r="IY17" s="455">
        <f>IT17</f>
        <v>8.1775839999999995</v>
      </c>
      <c r="IZ17" s="555">
        <f>IY17</f>
        <v>8.1775839999999995</v>
      </c>
      <c r="JA17" s="772">
        <f>(IY17*IV17+IZ17*IU17)/100</f>
        <v>311358.40331807995</v>
      </c>
      <c r="JB17" s="778">
        <f>IT17-IY17</f>
        <v>0</v>
      </c>
      <c r="JF17" s="551">
        <f>+JF16+1</f>
        <v>14</v>
      </c>
      <c r="JG17" s="762">
        <f>FR17</f>
        <v>14</v>
      </c>
      <c r="JH17" s="660" t="s">
        <v>403</v>
      </c>
      <c r="JI17" s="661">
        <f>L17</f>
        <v>3807462</v>
      </c>
      <c r="JJ17" s="757">
        <f>IY17</f>
        <v>8.1775839999999995</v>
      </c>
      <c r="JK17" s="757">
        <v>7.1058779999999997</v>
      </c>
      <c r="JL17" s="651">
        <f>IF(JK17&lt;&gt;0,JJ17/JK17-1,"")</f>
        <v>0.1508196453696502</v>
      </c>
      <c r="JM17" s="757">
        <f>JJ17-JK17</f>
        <v>1.0717059999999998</v>
      </c>
      <c r="JN17" s="652">
        <v>10</v>
      </c>
      <c r="JS17" s="757">
        <v>8.1987249999999996</v>
      </c>
      <c r="JT17" s="757">
        <f>JJ17-JS17</f>
        <v>-2.1141000000000076E-2</v>
      </c>
      <c r="JU17" s="1010">
        <v>3903996</v>
      </c>
      <c r="JV17" s="1010">
        <f>JU17-JI17</f>
        <v>96534</v>
      </c>
      <c r="JW17" s="1069">
        <f>JT17/JS17</f>
        <v>-2.5785716681557286E-3</v>
      </c>
      <c r="JX17" s="997">
        <v>320077.89605099999</v>
      </c>
      <c r="JY17" s="997">
        <f>JI17*JJ17/100</f>
        <v>311358.40331807995</v>
      </c>
      <c r="JZ17" s="516"/>
      <c r="KA17" s="516"/>
      <c r="KB17" s="516"/>
      <c r="KC17" s="516"/>
      <c r="KE17" s="516"/>
      <c r="KF17" s="516"/>
    </row>
    <row r="18" spans="2:292" ht="16.5" x14ac:dyDescent="0.3">
      <c r="I18" s="543">
        <f>+I17+1</f>
        <v>15</v>
      </c>
      <c r="J18" s="654">
        <f>FR18</f>
        <v>15</v>
      </c>
      <c r="K18" s="655" t="s">
        <v>404</v>
      </c>
      <c r="L18" s="991">
        <v>101000419.33910356</v>
      </c>
      <c r="M18" s="657">
        <f>L18/$L$28</f>
        <v>4.5981103303615559E-2</v>
      </c>
      <c r="N18" s="656">
        <v>1642</v>
      </c>
      <c r="O18" s="656">
        <f>IFERROR(L18/N18,0)</f>
        <v>61510.60861090351</v>
      </c>
      <c r="P18" s="657">
        <f>O18/$O$28</f>
        <v>3.4472653997598343E-2</v>
      </c>
      <c r="Q18" s="658" t="s">
        <v>379</v>
      </c>
      <c r="U18" s="545">
        <f>+U17+1</f>
        <v>15</v>
      </c>
      <c r="V18" s="669">
        <f>FR18</f>
        <v>15</v>
      </c>
      <c r="W18" s="655" t="s">
        <v>404</v>
      </c>
      <c r="X18" s="646">
        <f>SUM(FT18:FX18)</f>
        <v>4683068.458200749</v>
      </c>
      <c r="Y18" s="657">
        <f>SUM(FT18:FX18)/SUM($FT$28:$FX$28)</f>
        <v>4.8394348692642558E-2</v>
      </c>
      <c r="AC18" s="545">
        <f>+AC17+1</f>
        <v>15</v>
      </c>
      <c r="AD18" s="678">
        <v>15</v>
      </c>
      <c r="AE18" s="679" t="s">
        <v>404</v>
      </c>
      <c r="AF18" s="680">
        <v>3.79</v>
      </c>
      <c r="AP18" s="545">
        <f>+AP17+1</f>
        <v>15</v>
      </c>
      <c r="AQ18" s="693">
        <f>FR18</f>
        <v>15</v>
      </c>
      <c r="AR18" s="655" t="s">
        <v>404</v>
      </c>
      <c r="AS18" s="655">
        <f>VLOOKUP(AQ18,$AD$4:$AF$27,$AS$30,FALSE)</f>
        <v>3.79</v>
      </c>
      <c r="AT18" s="694">
        <f>L18</f>
        <v>101000419.33910356</v>
      </c>
      <c r="AU18" s="694">
        <f>AT18*AS18/3600</f>
        <v>106330.99702644514</v>
      </c>
      <c r="AV18" s="695">
        <f>AU18*$AL$5/$AU$28</f>
        <v>109768.33795539832</v>
      </c>
      <c r="AW18" s="696">
        <f>$AL$6</f>
        <v>21.592508896755888</v>
      </c>
      <c r="AX18" s="646">
        <f>AV18*AW18</f>
        <v>2370173.8138840455</v>
      </c>
      <c r="AY18" s="544">
        <f>AX18/$AX$28</f>
        <v>5.6282532561047385E-2</v>
      </c>
      <c r="AZ18" s="548">
        <f>IF($AT18=0,0,ROUND(IF(VLOOKUP(AQ18,$AQ$4:$AT$27,$AZ$30,FALSE)&lt;&gt;0,AX18/VLOOKUP(AQ18,$AQ$4:$AT$27,$AZ$30,FALSE)*100,""),6))</f>
        <v>2.3466969999999998</v>
      </c>
      <c r="BK18" s="543">
        <f>+BK17+1</f>
        <v>15</v>
      </c>
      <c r="BL18" s="658">
        <f>FR18</f>
        <v>15</v>
      </c>
      <c r="BM18" s="655" t="s">
        <v>404</v>
      </c>
      <c r="BN18" s="657">
        <f>VLOOKUP(BL18,$AQ$4:$AY$28,$BN$33,FALSE)</f>
        <v>5.6282532561047385E-2</v>
      </c>
      <c r="BO18" s="646">
        <f>BN18*$BO$28</f>
        <v>539564.48027956137</v>
      </c>
      <c r="BP18" s="657">
        <f>VLOOKUP(BL18,$J$4:$M$27,$BP$33,FALSE)</f>
        <v>4.5981103303615559E-2</v>
      </c>
      <c r="BQ18" s="646">
        <f>BP18*$BQ$28</f>
        <v>440807.63565118529</v>
      </c>
      <c r="BR18" s="708">
        <f>BQ18+BO18</f>
        <v>980372.11593074666</v>
      </c>
      <c r="BS18" s="709">
        <f>IF($AT18=0,0,ROUND(IF(VLOOKUP(BL18,$AQ$4:$AT$27,$AZ$30,FALSE)&lt;&gt;0,BR18/VLOOKUP(BL18,$AQ$4:$AT$27,$AZ$30,FALSE)*100,""),6))</f>
        <v>0.970661</v>
      </c>
      <c r="BV18" s="15"/>
      <c r="BW18" s="190"/>
      <c r="BX18" s="190"/>
      <c r="BY18" s="190"/>
      <c r="BZ18" s="190"/>
      <c r="CA18" s="190"/>
      <c r="CB18" s="190"/>
      <c r="CC18" s="190"/>
      <c r="CD18" s="190"/>
      <c r="CH18" s="543">
        <f>+CH17+1</f>
        <v>15</v>
      </c>
      <c r="CI18" s="678">
        <f>FR18</f>
        <v>15</v>
      </c>
      <c r="CJ18" s="655" t="s">
        <v>404</v>
      </c>
      <c r="CK18" s="657">
        <f>VLOOKUP(CI18,$J$4:$M$27,$CK$32,FALSE)</f>
        <v>4.5981103303615559E-2</v>
      </c>
      <c r="CL18" s="646">
        <f>CK18*$CL$28</f>
        <v>269529.2162386892</v>
      </c>
      <c r="CM18" s="657">
        <f>VLOOKUP(CI18,$J$4:$P$27,$CM$32,FALSE)</f>
        <v>3.4472653997598343E-2</v>
      </c>
      <c r="CN18" s="646">
        <f>CM18*$CN$28</f>
        <v>662287.86854925507</v>
      </c>
      <c r="CO18" s="646">
        <f>CN18+CL18</f>
        <v>931817.08478794433</v>
      </c>
      <c r="CP18" s="657">
        <f>CO18/$CO$28</f>
        <v>3.7163101699798508E-2</v>
      </c>
      <c r="CQ18" s="709">
        <f>IF($AT18=0,0,ROUND(IF(VLOOKUP(CI18,$AQ$4:$AT$27,$AZ$30,FALSE)&lt;&gt;0,CO18/VLOOKUP(CI18,$AQ$4:$AT$27,$AZ$30,FALSE)*100,""),6))</f>
        <v>0.92258700000000005</v>
      </c>
      <c r="DD18" s="15"/>
      <c r="DG18" s="545">
        <f>+DG17+1</f>
        <v>15</v>
      </c>
      <c r="DH18" s="739">
        <f>FR18</f>
        <v>15</v>
      </c>
      <c r="DI18" s="655" t="s">
        <v>404</v>
      </c>
      <c r="DJ18" s="657">
        <f>VLOOKUP(DH18,$CI$4:$CP$27,$DJ$33,FALSE)</f>
        <v>3.7163101699798508E-2</v>
      </c>
      <c r="DK18" s="646">
        <f>DJ18*$DK$28</f>
        <v>13999.144730845006</v>
      </c>
      <c r="DL18" s="657">
        <f>VLOOKUP(DH18,$J$4:$Q$27,$DL$33,FALSE)</f>
        <v>3.4472653997598343E-2</v>
      </c>
      <c r="DM18" s="646">
        <f>DL18*$DM$28</f>
        <v>84393.728352926133</v>
      </c>
      <c r="DN18" s="657">
        <f>VLOOKUP(DH18,$J$4:$Q$27,$DN$33,FALSE)</f>
        <v>4.5981103303615559E-2</v>
      </c>
      <c r="DO18" s="646">
        <f>DN18*$DO$28</f>
        <v>163180.68281812326</v>
      </c>
      <c r="DP18" s="646">
        <f>DK18+DM18+DO18</f>
        <v>261573.5559018944</v>
      </c>
      <c r="DQ18" s="657">
        <f>DP18/$DP$28</f>
        <v>4.1039551841490503E-2</v>
      </c>
      <c r="DR18" s="709">
        <f>IF($AT18=0,0,ROUND(IF(VLOOKUP(DH18,$AQ$4:$AT$27,$AZ$30,FALSE)&lt;&gt;0,DP18/VLOOKUP(DH18,$AQ$4:$AT$27,$AZ$30,FALSE)*100,""),6))</f>
        <v>0.25898300000000002</v>
      </c>
      <c r="DV18" s="545">
        <f>+DV17+1</f>
        <v>15</v>
      </c>
      <c r="DW18" s="739">
        <f>GG18</f>
        <v>15</v>
      </c>
      <c r="DX18" s="655" t="s">
        <v>404</v>
      </c>
      <c r="DY18" s="657">
        <f>VLOOKUP(DW18,$J$4:$Q$27,$DY$33,FALSE)</f>
        <v>3.4472653997598343E-2</v>
      </c>
      <c r="DZ18" s="646">
        <f>DY18*$DZ$28</f>
        <v>139131.88769611795</v>
      </c>
      <c r="EA18" s="709">
        <f>IF($AT18=0,0,ROUND(IF(VLOOKUP(DW18,$AQ$4:$AT$27,$AZ$30,FALSE)&lt;&gt;0,DZ18/VLOOKUP(DW18,$AQ$4:$AT$27,$AZ$30,FALSE)*100,""),6))</f>
        <v>0.13775399999999999</v>
      </c>
      <c r="EM18" s="545">
        <f>+EM17+1</f>
        <v>15</v>
      </c>
      <c r="EN18" s="739">
        <f>FR18</f>
        <v>15</v>
      </c>
      <c r="EO18" s="655" t="s">
        <v>404</v>
      </c>
      <c r="EP18" s="657">
        <f>VLOOKUP(EN18,$V$4:$Y$27,$EP$33,FALSE)</f>
        <v>4.8394348692642558E-2</v>
      </c>
      <c r="EQ18" s="646">
        <f>EP18*$EQ$28</f>
        <v>380803.8800086375</v>
      </c>
      <c r="ER18" s="657">
        <f>VLOOKUP(EN18,$CI$4:$CP$27,$ER$33,FALSE)</f>
        <v>3.7163101699798508E-2</v>
      </c>
      <c r="ES18" s="646">
        <f>ER18*$ES$28</f>
        <v>37747.53174671327</v>
      </c>
      <c r="ET18" s="657">
        <f>VLOOKUP(EN18,$J$4:$M$27,$ET$33,FALSE)</f>
        <v>4.5981103303615559E-2</v>
      </c>
      <c r="EU18" s="646">
        <f>ET18*$EU$28</f>
        <v>197708.92001629501</v>
      </c>
      <c r="EV18" s="646">
        <f>EQ18+ES18+EU18</f>
        <v>616260.33177164581</v>
      </c>
      <c r="EW18" s="657">
        <f>EV18/$EV$28</f>
        <v>4.6742054434072318E-2</v>
      </c>
      <c r="EX18" s="709">
        <f>IF($AT18=0,0,ROUND(IF(VLOOKUP(EN18,$AQ$4:$AT$27,$AZ$30,FALSE)&lt;&gt;0,EV18/VLOOKUP(EN18,$AQ$4:$AT$27,$AZ$30,FALSE)*100,""),6))</f>
        <v>0.61015600000000003</v>
      </c>
      <c r="FH18" s="545">
        <f>+FH17+1</f>
        <v>15</v>
      </c>
      <c r="FI18" s="669">
        <f>FR18</f>
        <v>15</v>
      </c>
      <c r="FJ18" s="655" t="s">
        <v>404</v>
      </c>
      <c r="FK18" s="657">
        <f>Y18</f>
        <v>4.8394348692642558E-2</v>
      </c>
      <c r="FL18" s="646">
        <f>Y18*$FL$28</f>
        <v>955246.6972790102</v>
      </c>
      <c r="FM18" s="709">
        <f>IF($AT18=0,0,ROUND(IF(VLOOKUP(FI18,$AQ$4:$AT$27,$AZ$30,FALSE)&lt;&gt;0,FL18/VLOOKUP(FI18,$AQ$4:$AT$27,$AZ$30,FALSE)*100,""),6))</f>
        <v>0.94578499999999999</v>
      </c>
      <c r="FQ18" s="543">
        <v>15</v>
      </c>
      <c r="FR18" s="669">
        <v>15</v>
      </c>
      <c r="FS18" s="655" t="s">
        <v>404</v>
      </c>
      <c r="FT18" s="646">
        <f>VLOOKUP(FR18,$AQ$4:$AZ$27,$FT$33,FALSE)</f>
        <v>2370173.8138840455</v>
      </c>
      <c r="FU18" s="646">
        <f>VLOOKUP(FR18,$BL$4:$BS$86,$FU$33,FALSE)</f>
        <v>980372.11593074666</v>
      </c>
      <c r="FV18" s="646">
        <f>VLOOKUP(FR18,$CI$4:$CQ$27,$FV$33,FALSE)</f>
        <v>931817.08478794433</v>
      </c>
      <c r="FW18" s="646">
        <f>VLOOKUP(FR18,$DH$4:$DP$27,$FW$33,FALSE)</f>
        <v>261573.5559018944</v>
      </c>
      <c r="FX18" s="646">
        <f>VLOOKUP(FR18,$DW$4:$EA$27,$FX$33,FALSE)</f>
        <v>139131.88769611795</v>
      </c>
      <c r="FY18" s="646">
        <f>VLOOKUP(FR18,$EN$4:$EV$28,$FY$34,FALSE)</f>
        <v>616260.33177164581</v>
      </c>
      <c r="FZ18" s="646">
        <f>VLOOKUP(FR18,$FI$4:$FL$27,$FZ$33,FALSE)</f>
        <v>955246.6972790102</v>
      </c>
      <c r="GA18" s="646">
        <f>SUM(FT18:FZ18)</f>
        <v>6254575.4872514047</v>
      </c>
      <c r="GB18" s="746">
        <f>IF($AT18=0,0,ROUND(IF(VLOOKUP(FR18,$AQ$4:$AT$27,$AZ$30,FALSE)&lt;&gt;0,GA18/VLOOKUP(FR18,$AQ$4:$AT$27,$AZ$30,FALSE)*100,""),6))</f>
        <v>6.1926230000000002</v>
      </c>
      <c r="GF18" s="545">
        <f>+GF17+1</f>
        <v>15</v>
      </c>
      <c r="GG18" s="669">
        <f>FR18</f>
        <v>15</v>
      </c>
      <c r="GH18" s="655" t="s">
        <v>404</v>
      </c>
      <c r="GI18" s="709">
        <f>VLOOKUP(GG18,$AQ$4:$AZ$27,$GI$31,FALSE)</f>
        <v>2.3466969999999998</v>
      </c>
      <c r="GJ18" s="709">
        <f>VLOOKUP(GG18,$BL$4:$BS$27,$GJ$31,FALSE)</f>
        <v>0.970661</v>
      </c>
      <c r="GK18" s="709">
        <f>VLOOKUP(GG18,$CI$4:$CQ$27,$GK$31,FALSE)</f>
        <v>0.92258700000000005</v>
      </c>
      <c r="GL18" s="709">
        <f>VLOOKUP(GG18,$DH$4:$DR$27,$GL$31,FALSE)</f>
        <v>0.25898300000000002</v>
      </c>
      <c r="GM18" s="709">
        <f>VLOOKUP(GG18,$DW$4:$EA$27,$GM$31,FALSE)</f>
        <v>0.13775399999999999</v>
      </c>
      <c r="GN18" s="709">
        <f>VLOOKUP(GG18,$EN$4:$EX$28,$GN$31,FALSE)</f>
        <v>0.61015600000000003</v>
      </c>
      <c r="GO18" s="709">
        <f>VLOOKUP(GG18,$FI$4:$FM$27,$GO$31,FALSE)</f>
        <v>0.94578499999999999</v>
      </c>
      <c r="GP18" s="709">
        <f>VLOOKUP(GG18,$FR$4:$GB$27,$GP$31,FALSE)</f>
        <v>6.1926230000000002</v>
      </c>
      <c r="GQ18" s="656">
        <f>L18</f>
        <v>101000419.33910356</v>
      </c>
      <c r="GR18" s="530"/>
      <c r="GU18" s="543">
        <f>+GU17+1</f>
        <v>15</v>
      </c>
      <c r="GV18" s="669">
        <f>FR18</f>
        <v>15</v>
      </c>
      <c r="GW18" s="655" t="s">
        <v>404</v>
      </c>
      <c r="GX18" s="658" t="s">
        <v>379</v>
      </c>
      <c r="GY18" s="646">
        <f>GA18</f>
        <v>6254575.4872514047</v>
      </c>
      <c r="GZ18" s="656">
        <f>VLOOKUP(GV18,$GG$4:$GQ$27,$GZ$34,FALSE)</f>
        <v>101000419.33910356</v>
      </c>
      <c r="HA18" s="709">
        <f>IF(GW18="Specialty Containers",$HA$31,ROUND(IF(GZ18&lt;&gt;0,GY18/GZ18*100,0),6))</f>
        <v>6.1926230000000002</v>
      </c>
      <c r="HB18" s="646">
        <f>ROUND(HA18,10)*GZ18/100</f>
        <v>6254575.1980897756</v>
      </c>
      <c r="HC18" s="749">
        <f>HB18-GY18</f>
        <v>-0.2891616290435195</v>
      </c>
      <c r="HD18" s="549"/>
      <c r="HG18" s="549"/>
      <c r="HH18" s="549"/>
      <c r="HI18" s="549"/>
      <c r="HJ18" s="549"/>
      <c r="HK18" s="549"/>
      <c r="HL18" s="549"/>
      <c r="HM18" s="549"/>
      <c r="HP18" s="545">
        <f>+HP17+1</f>
        <v>15</v>
      </c>
      <c r="HQ18" s="761">
        <f>FR18</f>
        <v>15</v>
      </c>
      <c r="HR18" s="655" t="s">
        <v>404</v>
      </c>
      <c r="HS18" s="656">
        <f>L18</f>
        <v>101000419.33910356</v>
      </c>
      <c r="HT18" s="756">
        <f>HA18</f>
        <v>6.1926230000000002</v>
      </c>
      <c r="HU18" s="756">
        <v>5.4117150000000001</v>
      </c>
      <c r="HV18" s="647">
        <f>IF(HU18&lt;&gt;0,HT18/HU18-1,"")</f>
        <v>0.14429954275123502</v>
      </c>
      <c r="HW18" s="756">
        <f>HT18-HU18</f>
        <v>0.78090800000000016</v>
      </c>
      <c r="HX18" s="648">
        <v>10</v>
      </c>
      <c r="IO18" s="545">
        <v>15</v>
      </c>
      <c r="IP18" s="761">
        <v>15</v>
      </c>
      <c r="IQ18" s="655" t="s">
        <v>404</v>
      </c>
      <c r="IR18" s="769">
        <f>GY18</f>
        <v>6254575.4872514047</v>
      </c>
      <c r="IS18" s="770">
        <f>GZ18</f>
        <v>101000419.33910356</v>
      </c>
      <c r="IT18" s="771">
        <f>HA18</f>
        <v>6.1926230000000002</v>
      </c>
      <c r="IU18" s="656">
        <f>IS18*$IJ$4/(1-$IK$4)</f>
        <v>14763319.226157755</v>
      </c>
      <c r="IV18" s="656">
        <f>IS18-IU18</f>
        <v>86237100.11294581</v>
      </c>
      <c r="IW18" s="769">
        <f>IU18*$IH$4</f>
        <v>221449.78839236632</v>
      </c>
      <c r="IX18" s="769">
        <f>IR18-IW18</f>
        <v>6033125.6988590388</v>
      </c>
      <c r="IY18" s="550">
        <f>IX18/IS18*100</f>
        <v>5.9733669803915745</v>
      </c>
      <c r="IZ18" s="550">
        <f>IY18+1.5</f>
        <v>7.4733669803915745</v>
      </c>
      <c r="JA18" s="769">
        <f>(IY18*IV18+IZ18*IU18)/100</f>
        <v>6254575.4872514047</v>
      </c>
      <c r="JB18" s="746">
        <f>IT18-IY18</f>
        <v>0.21925601960842567</v>
      </c>
      <c r="JF18" s="545">
        <f>+JF17+1</f>
        <v>15</v>
      </c>
      <c r="JG18" s="761">
        <f>FR18</f>
        <v>15</v>
      </c>
      <c r="JH18" s="655" t="s">
        <v>404</v>
      </c>
      <c r="JI18" s="656">
        <f>L18</f>
        <v>101000419.33910356</v>
      </c>
      <c r="JJ18" s="756">
        <f>IY18</f>
        <v>5.9733669803915745</v>
      </c>
      <c r="JK18" s="756">
        <v>5.1894820836816677</v>
      </c>
      <c r="JL18" s="647">
        <f>IF(JK18&lt;&gt;0,JJ18/JK18-1,"")</f>
        <v>0.15105262607512104</v>
      </c>
      <c r="JM18" s="756">
        <f>JJ18-JK18</f>
        <v>0.7838848967099068</v>
      </c>
      <c r="JN18" s="648">
        <v>10</v>
      </c>
      <c r="JS18" s="756">
        <v>5.9887880357863379</v>
      </c>
      <c r="JT18" s="756">
        <f>JJ18-JS18</f>
        <v>-1.542105539476335E-2</v>
      </c>
      <c r="JU18" s="1009">
        <v>98512295</v>
      </c>
      <c r="JV18" s="1009">
        <f>JU18-JI18</f>
        <v>-2488124.3391035646</v>
      </c>
      <c r="JW18" s="1069">
        <f>JT18/JS18</f>
        <v>-2.5749876774088464E-3</v>
      </c>
      <c r="JX18" s="997">
        <v>5899692.5367385419</v>
      </c>
      <c r="JY18" s="997">
        <f>JI18*JJ18/100</f>
        <v>6033125.6988590388</v>
      </c>
      <c r="JZ18" s="516"/>
      <c r="KA18" s="516"/>
      <c r="KB18" s="516"/>
      <c r="KC18" s="516"/>
      <c r="KE18" s="516"/>
      <c r="KF18" s="516"/>
    </row>
    <row r="19" spans="2:292" ht="16.5" x14ac:dyDescent="0.3">
      <c r="B19" s="18"/>
      <c r="I19" s="222">
        <f>+I18+1</f>
        <v>16</v>
      </c>
      <c r="J19" s="659">
        <f>FR19</f>
        <v>16</v>
      </c>
      <c r="K19" s="660" t="s">
        <v>405</v>
      </c>
      <c r="L19" s="991">
        <v>10542081.064400254</v>
      </c>
      <c r="M19" s="662">
        <f>L19/$L$28</f>
        <v>4.7993515435792427E-3</v>
      </c>
      <c r="N19" s="661">
        <v>284</v>
      </c>
      <c r="O19" s="661">
        <f>IFERROR(L19/N19,0)</f>
        <v>37120.003747888215</v>
      </c>
      <c r="P19" s="662">
        <f>O19/$O$28</f>
        <v>2.0803322784285941E-2</v>
      </c>
      <c r="Q19" s="663" t="s">
        <v>379</v>
      </c>
      <c r="U19" s="551">
        <f>+U18+1</f>
        <v>16</v>
      </c>
      <c r="V19" s="670">
        <f>FR19</f>
        <v>16</v>
      </c>
      <c r="W19" s="660" t="s">
        <v>405</v>
      </c>
      <c r="X19" s="671">
        <f>SUM(FT19:FX19)</f>
        <v>1395845.5316354425</v>
      </c>
      <c r="Y19" s="662">
        <f>SUM(FT19:FX19)/SUM($FT$28:$FX$28)</f>
        <v>1.4424524429221342E-2</v>
      </c>
      <c r="AC19" s="551">
        <f>+AC18+1</f>
        <v>16</v>
      </c>
      <c r="AD19" s="681">
        <v>16</v>
      </c>
      <c r="AE19" s="682" t="s">
        <v>405</v>
      </c>
      <c r="AF19" s="683">
        <v>9.5299999999999994</v>
      </c>
      <c r="AP19" s="551">
        <f>+AP18+1</f>
        <v>16</v>
      </c>
      <c r="AQ19" s="697">
        <f>FR19</f>
        <v>16</v>
      </c>
      <c r="AR19" s="660" t="s">
        <v>405</v>
      </c>
      <c r="AS19" s="660">
        <f>VLOOKUP(AQ19,$AD$4:$AF$27,$AS$30,FALSE)</f>
        <v>9.5299999999999994</v>
      </c>
      <c r="AT19" s="698">
        <f>L19</f>
        <v>10542081.064400254</v>
      </c>
      <c r="AU19" s="698">
        <f>AT19*AS19/3600</f>
        <v>27907.231262148449</v>
      </c>
      <c r="AV19" s="699">
        <f>AU19*$AL$5/$AU$28</f>
        <v>28809.382759959452</v>
      </c>
      <c r="AW19" s="700">
        <f>$AL$6</f>
        <v>21.592508896755888</v>
      </c>
      <c r="AX19" s="671">
        <f>AV19*AW19</f>
        <v>622066.85355447012</v>
      </c>
      <c r="AY19" s="465">
        <f>AX19/$AX$28</f>
        <v>1.4771700596486552E-2</v>
      </c>
      <c r="AZ19" s="553">
        <f>IF($AT19=0,0,ROUND(IF(VLOOKUP(AQ19,$AQ$4:$AT$27,$AZ$30,FALSE)&lt;&gt;0,AX19/VLOOKUP(AQ19,$AQ$4:$AT$27,$AZ$30,FALSE)*100,""),6))</f>
        <v>5.9007969999999998</v>
      </c>
      <c r="BK19" s="222">
        <f>+BK18+1</f>
        <v>16</v>
      </c>
      <c r="BL19" s="663">
        <f>FR19</f>
        <v>16</v>
      </c>
      <c r="BM19" s="660" t="s">
        <v>405</v>
      </c>
      <c r="BN19" s="662">
        <f>VLOOKUP(BL19,$AQ$4:$AY$28,$BN$33,FALSE)</f>
        <v>1.4771700596486552E-2</v>
      </c>
      <c r="BO19" s="671">
        <f>BN19*$BO$28</f>
        <v>141612.0524879279</v>
      </c>
      <c r="BP19" s="662">
        <f>VLOOKUP(BL19,$J$4:$M$27,$BP$33,FALSE)</f>
        <v>4.7993515435792427E-3</v>
      </c>
      <c r="BQ19" s="671">
        <f>BP19*$BQ$28</f>
        <v>46010.005297495351</v>
      </c>
      <c r="BR19" s="710">
        <f>BQ19+BO19</f>
        <v>187622.05778542324</v>
      </c>
      <c r="BS19" s="711">
        <f>IF($AT19=0,0,ROUND(IF(VLOOKUP(BL19,$AQ$4:$AT$27,$AZ$30,FALSE)&lt;&gt;0,BR19/VLOOKUP(BL19,$AQ$4:$AT$27,$AZ$30,FALSE)*100,""),6))</f>
        <v>1.779744</v>
      </c>
      <c r="BV19" s="15"/>
      <c r="BW19" s="190"/>
      <c r="BX19" s="190"/>
      <c r="BY19" s="190"/>
      <c r="BZ19" s="190"/>
      <c r="CA19" s="190"/>
      <c r="CB19" s="190"/>
      <c r="CC19" s="190"/>
      <c r="CD19" s="190"/>
      <c r="CH19" s="222">
        <f>+CH18+1</f>
        <v>16</v>
      </c>
      <c r="CI19" s="681">
        <f>FR19</f>
        <v>16</v>
      </c>
      <c r="CJ19" s="660" t="s">
        <v>405</v>
      </c>
      <c r="CK19" s="723">
        <f>VLOOKUP(CI19,$J$4:$M$27,$CK$32,FALSE)</f>
        <v>4.7993515435792427E-3</v>
      </c>
      <c r="CL19" s="650">
        <f>CK19*$CL$28</f>
        <v>28132.545046894116</v>
      </c>
      <c r="CM19" s="723">
        <f>VLOOKUP(CI19,$J$4:$P$27,$CM$32,FALSE)</f>
        <v>2.0803322784285941E-2</v>
      </c>
      <c r="CN19" s="650">
        <f>CM19*$CN$28</f>
        <v>399672.978660325</v>
      </c>
      <c r="CO19" s="650">
        <f>CN19+CL19</f>
        <v>427805.52370721911</v>
      </c>
      <c r="CP19" s="723">
        <f>CO19/$CO$28</f>
        <v>1.7061911017530892E-2</v>
      </c>
      <c r="CQ19" s="724">
        <f>IF($AT19=0,0,ROUND(IF(VLOOKUP(CI19,$AQ$4:$AT$27,$AZ$30,FALSE)&lt;&gt;0,CO19/VLOOKUP(CI19,$AQ$4:$AT$27,$AZ$30,FALSE)*100,""),6))</f>
        <v>4.0580749999999997</v>
      </c>
      <c r="DD19" s="15"/>
      <c r="DG19" s="551">
        <f>+DG18+1</f>
        <v>16</v>
      </c>
      <c r="DH19" s="677">
        <f>FR19</f>
        <v>16</v>
      </c>
      <c r="DI19" s="660" t="s">
        <v>405</v>
      </c>
      <c r="DJ19" s="723">
        <f>VLOOKUP(DH19,$CI$4:$CP$27,$DJ$33,FALSE)</f>
        <v>1.7061911017530892E-2</v>
      </c>
      <c r="DK19" s="650">
        <f>DJ19*$DK$28</f>
        <v>6427.1320421166292</v>
      </c>
      <c r="DL19" s="723">
        <f>VLOOKUP(DH19,$J$4:$Q$27,$DL$33,FALSE)</f>
        <v>2.0803322784285941E-2</v>
      </c>
      <c r="DM19" s="650">
        <f>DL19*$DM$28</f>
        <v>50929.353220601508</v>
      </c>
      <c r="DN19" s="723">
        <f>VLOOKUP(DH19,$J$4:$Q$27,$DN$33,FALSE)</f>
        <v>4.7993515435792427E-3</v>
      </c>
      <c r="DO19" s="650">
        <f>DN19*$DO$28</f>
        <v>17032.245981446329</v>
      </c>
      <c r="DP19" s="650">
        <f>DK19+DM19+DO19</f>
        <v>74388.731244164461</v>
      </c>
      <c r="DQ19" s="723">
        <f>DP19/$DP$28</f>
        <v>1.1671211112267797E-2</v>
      </c>
      <c r="DR19" s="724">
        <f>IF($AT19=0,0,ROUND(IF(VLOOKUP(DH19,$AQ$4:$AT$27,$AZ$30,FALSE)&lt;&gt;0,DP19/VLOOKUP(DH19,$AQ$4:$AT$27,$AZ$30,FALSE)*100,""),6))</f>
        <v>0.70563600000000004</v>
      </c>
      <c r="DV19" s="551">
        <f>+DV18+1</f>
        <v>16</v>
      </c>
      <c r="DW19" s="677">
        <f>GG19</f>
        <v>16</v>
      </c>
      <c r="DX19" s="660" t="s">
        <v>405</v>
      </c>
      <c r="DY19" s="723">
        <f>VLOOKUP(DW19,$J$4:$Q$27,$DY$33,FALSE)</f>
        <v>2.0803322784285941E-2</v>
      </c>
      <c r="DZ19" s="650">
        <f>DY19*$DZ$28</f>
        <v>83962.365344165606</v>
      </c>
      <c r="EA19" s="724">
        <f>IF($AT19=0,0,ROUND(IF(VLOOKUP(DW19,$AQ$4:$AT$27,$AZ$30,FALSE)&lt;&gt;0,DZ19/VLOOKUP(DW19,$AQ$4:$AT$27,$AZ$30,FALSE)*100,""),6))</f>
        <v>0.79644999999999999</v>
      </c>
      <c r="EM19" s="551">
        <f>+EM18+1</f>
        <v>16</v>
      </c>
      <c r="EN19" s="677">
        <f>FR19</f>
        <v>16</v>
      </c>
      <c r="EO19" s="660" t="s">
        <v>405</v>
      </c>
      <c r="EP19" s="723">
        <f>VLOOKUP(EN19,$V$4:$Y$27,$EP$33,FALSE)</f>
        <v>1.4424524429221342E-2</v>
      </c>
      <c r="EQ19" s="650">
        <f>EP19*$EQ$28</f>
        <v>113503.22957775352</v>
      </c>
      <c r="ER19" s="723">
        <f>VLOOKUP(EN19,$CI$4:$CP$27,$ER$33,FALSE)</f>
        <v>1.7061911017530892E-2</v>
      </c>
      <c r="ES19" s="650">
        <f>ER19*$ES$28</f>
        <v>17330.228057830172</v>
      </c>
      <c r="ET19" s="723">
        <f>VLOOKUP(EN19,$J$4:$M$27,$ET$33,FALSE)</f>
        <v>4.7993515435792427E-3</v>
      </c>
      <c r="EU19" s="650">
        <f>ET19*$EU$28</f>
        <v>20636.186221851254</v>
      </c>
      <c r="EV19" s="650">
        <f>EQ19+ES19+EU19</f>
        <v>151469.64385743494</v>
      </c>
      <c r="EW19" s="723">
        <f>EV19/$EV$28</f>
        <v>1.1488654994132017E-2</v>
      </c>
      <c r="EX19" s="724">
        <f>IF($AT19=0,0,ROUND(IF(VLOOKUP(EN19,$AQ$4:$AT$27,$AZ$30,FALSE)&lt;&gt;0,EV19/VLOOKUP(EN19,$AQ$4:$AT$27,$AZ$30,FALSE)*100,""),6))</f>
        <v>1.4368099999999999</v>
      </c>
      <c r="FH19" s="551">
        <f>+FH18+1</f>
        <v>16</v>
      </c>
      <c r="FI19" s="670">
        <f>FR19</f>
        <v>16</v>
      </c>
      <c r="FJ19" s="660" t="s">
        <v>405</v>
      </c>
      <c r="FK19" s="723">
        <f>Y19</f>
        <v>1.4424524429221342E-2</v>
      </c>
      <c r="FL19" s="650">
        <f>Y19*$FL$28</f>
        <v>284722.90036065551</v>
      </c>
      <c r="FM19" s="724">
        <f>IF($AT19=0,0,ROUND(IF(VLOOKUP(FI19,$AQ$4:$AT$27,$AZ$30,FALSE)&lt;&gt;0,FL19/VLOOKUP(FI19,$AQ$4:$AT$27,$AZ$30,FALSE)*100,""),6))</f>
        <v>2.7008230000000002</v>
      </c>
      <c r="FQ19" s="222">
        <v>16</v>
      </c>
      <c r="FR19" s="670">
        <v>16</v>
      </c>
      <c r="FS19" s="660" t="s">
        <v>405</v>
      </c>
      <c r="FT19" s="650">
        <f>VLOOKUP(FR19,$AQ$4:$AZ$27,$FT$33,FALSE)</f>
        <v>622066.85355447012</v>
      </c>
      <c r="FU19" s="650">
        <f>VLOOKUP(FR19,$BL$4:$BS$86,$FU$33,FALSE)</f>
        <v>187622.05778542324</v>
      </c>
      <c r="FV19" s="650">
        <f>VLOOKUP(FR19,$CI$4:$CQ$27,$FV$33,FALSE)</f>
        <v>427805.52370721911</v>
      </c>
      <c r="FW19" s="650">
        <f>VLOOKUP(FR19,$DH$4:$DP$27,$FW$33,FALSE)</f>
        <v>74388.731244164461</v>
      </c>
      <c r="FX19" s="650">
        <f>VLOOKUP(FR19,$DW$4:$EA$27,$FX$33,FALSE)</f>
        <v>83962.365344165606</v>
      </c>
      <c r="FY19" s="650">
        <f>VLOOKUP(FR19,$EN$4:$EV$28,$FY$34,FALSE)</f>
        <v>151469.64385743494</v>
      </c>
      <c r="FZ19" s="650">
        <f>VLOOKUP(FR19,$FI$4:$FL$27,$FZ$33,FALSE)</f>
        <v>284722.90036065551</v>
      </c>
      <c r="GA19" s="650">
        <f>SUM(FT19:FZ19)</f>
        <v>1832038.0758535329</v>
      </c>
      <c r="GB19" s="747">
        <f>IF($AT19=0,0,ROUND(IF(VLOOKUP(FR19,$AQ$4:$AT$27,$AZ$30,FALSE)&lt;&gt;0,GA19/VLOOKUP(FR19,$AQ$4:$AT$27,$AZ$30,FALSE)*100,""),6))</f>
        <v>17.378333999999999</v>
      </c>
      <c r="GF19" s="551">
        <f>+GF18+1</f>
        <v>16</v>
      </c>
      <c r="GG19" s="670">
        <f>FR19</f>
        <v>16</v>
      </c>
      <c r="GH19" s="660" t="s">
        <v>405</v>
      </c>
      <c r="GI19" s="724">
        <f>VLOOKUP(GG19,$AQ$4:$AZ$27,$GI$31,FALSE)</f>
        <v>5.9007969999999998</v>
      </c>
      <c r="GJ19" s="724">
        <f>VLOOKUP(GG19,$BL$4:$BS$27,$GJ$31,FALSE)</f>
        <v>1.779744</v>
      </c>
      <c r="GK19" s="724">
        <f>VLOOKUP(GG19,$CI$4:$CQ$27,$GK$31,FALSE)</f>
        <v>4.0580749999999997</v>
      </c>
      <c r="GL19" s="724">
        <f>VLOOKUP(GG19,$DH$4:$DR$27,$GL$31,FALSE)</f>
        <v>0.70563600000000004</v>
      </c>
      <c r="GM19" s="724">
        <f>VLOOKUP(GG19,$DW$4:$EA$27,$GM$31,FALSE)</f>
        <v>0.79644999999999999</v>
      </c>
      <c r="GN19" s="724">
        <f>VLOOKUP(GG19,$EN$4:$EX$28,$GN$31,FALSE)</f>
        <v>1.4368099999999999</v>
      </c>
      <c r="GO19" s="724">
        <f>VLOOKUP(GG19,$FI$4:$FM$27,$GO$31,FALSE)</f>
        <v>2.7008230000000002</v>
      </c>
      <c r="GP19" s="724">
        <f>VLOOKUP(GG19,$FR$4:$GB$27,$GP$31,FALSE)</f>
        <v>17.378333999999999</v>
      </c>
      <c r="GQ19" s="661">
        <f>L19</f>
        <v>10542081.064400254</v>
      </c>
      <c r="GR19" s="530"/>
      <c r="GU19" s="222">
        <f>+GU18+1</f>
        <v>16</v>
      </c>
      <c r="GV19" s="670">
        <f>FR19</f>
        <v>16</v>
      </c>
      <c r="GW19" s="660" t="s">
        <v>405</v>
      </c>
      <c r="GX19" s="663" t="s">
        <v>379</v>
      </c>
      <c r="GY19" s="671">
        <f>GA19</f>
        <v>1832038.0758535329</v>
      </c>
      <c r="GZ19" s="661">
        <f>VLOOKUP(GV19,$GG$4:$GQ$27,$GZ$34,FALSE)</f>
        <v>10542081.064400254</v>
      </c>
      <c r="HA19" s="724">
        <f>IF(GW19="Specialty Containers",$HA$31,ROUND(IF(GZ19&lt;&gt;0,GY19/GZ19*100,0),6))</f>
        <v>17.378333999999999</v>
      </c>
      <c r="HB19" s="650">
        <f>ROUND(HA19,10)*GZ19/100</f>
        <v>1832038.057922231</v>
      </c>
      <c r="HC19" s="750">
        <f>HB19-GY19</f>
        <v>-1.7931301845237613E-2</v>
      </c>
      <c r="HD19" s="549"/>
      <c r="HG19" s="549"/>
      <c r="HH19" s="549"/>
      <c r="HI19" s="549"/>
      <c r="HJ19" s="549"/>
      <c r="HK19" s="549"/>
      <c r="HL19" s="549"/>
      <c r="HM19" s="549"/>
      <c r="HP19" s="551">
        <f>+HP18+1</f>
        <v>16</v>
      </c>
      <c r="HQ19" s="762">
        <f>FR19</f>
        <v>16</v>
      </c>
      <c r="HR19" s="660" t="s">
        <v>405</v>
      </c>
      <c r="HS19" s="661">
        <f>L19</f>
        <v>10542081.064400254</v>
      </c>
      <c r="HT19" s="757">
        <f>HA19</f>
        <v>17.378333999999999</v>
      </c>
      <c r="HU19" s="757">
        <v>15.408874000000001</v>
      </c>
      <c r="HV19" s="651">
        <f>IF(HU19&lt;&gt;0,HT19/HU19-1,"")</f>
        <v>0.12781336261170018</v>
      </c>
      <c r="HW19" s="757">
        <f>HT19-HU19</f>
        <v>1.969459999999998</v>
      </c>
      <c r="HX19" s="652">
        <v>25</v>
      </c>
      <c r="IO19" s="551">
        <v>16</v>
      </c>
      <c r="IP19" s="762">
        <v>16</v>
      </c>
      <c r="IQ19" s="660" t="s">
        <v>405</v>
      </c>
      <c r="IR19" s="772">
        <f>GY19</f>
        <v>1832038.0758535329</v>
      </c>
      <c r="IS19" s="773">
        <f>GZ19</f>
        <v>10542081.064400254</v>
      </c>
      <c r="IT19" s="774">
        <f>HA19</f>
        <v>17.378333999999999</v>
      </c>
      <c r="IU19" s="661">
        <f>IS19*$IJ$4/(1-$IK$4)</f>
        <v>1540945.1671604835</v>
      </c>
      <c r="IV19" s="661">
        <f>IS19-IU19</f>
        <v>9001135.8972397707</v>
      </c>
      <c r="IW19" s="772">
        <f>IU19*$IH$4</f>
        <v>23114.177507407254</v>
      </c>
      <c r="IX19" s="772">
        <f>IR19-IW19</f>
        <v>1808923.8983461256</v>
      </c>
      <c r="IY19" s="455">
        <f>IX19/IS19*100</f>
        <v>17.159077864186738</v>
      </c>
      <c r="IZ19" s="555">
        <f>IY19+1.5</f>
        <v>18.659077864186738</v>
      </c>
      <c r="JA19" s="772">
        <f>(IY19*IV19+IZ19*IU19)/100</f>
        <v>1832038.0758535331</v>
      </c>
      <c r="JB19" s="778">
        <f>IT19-IY19</f>
        <v>0.21925613581326076</v>
      </c>
      <c r="JF19" s="551">
        <f>+JF18+1</f>
        <v>16</v>
      </c>
      <c r="JG19" s="762">
        <f>FR19</f>
        <v>16</v>
      </c>
      <c r="JH19" s="660" t="s">
        <v>405</v>
      </c>
      <c r="JI19" s="661">
        <f>L19</f>
        <v>10542081.064400254</v>
      </c>
      <c r="JJ19" s="757">
        <f>IY19</f>
        <v>17.159077864186738</v>
      </c>
      <c r="JK19" s="757">
        <v>15.186640462678744</v>
      </c>
      <c r="JL19" s="651">
        <f>IF(JK19&lt;&gt;0,JJ19/JK19-1,"")</f>
        <v>0.12987977205065659</v>
      </c>
      <c r="JM19" s="757">
        <f>JJ19-JK19</f>
        <v>1.9724374015079942</v>
      </c>
      <c r="JN19" s="652">
        <v>25</v>
      </c>
      <c r="JS19" s="757">
        <v>17.211053997305559</v>
      </c>
      <c r="JT19" s="757">
        <f>JJ19-JS19</f>
        <v>-5.1976133118820655E-2</v>
      </c>
      <c r="JU19" s="1010">
        <v>10319127</v>
      </c>
      <c r="JV19" s="1010">
        <f>JU19-JI19</f>
        <v>-222954.06440025382</v>
      </c>
      <c r="JW19" s="1069">
        <f>JT19/JS19</f>
        <v>-3.0199273749857312E-3</v>
      </c>
      <c r="JX19" s="997">
        <v>1776030.5200205371</v>
      </c>
      <c r="JY19" s="997">
        <f>JI19*JJ19/100</f>
        <v>1808923.8983461254</v>
      </c>
      <c r="JZ19" s="516"/>
      <c r="KA19" s="516"/>
      <c r="KB19" s="516"/>
      <c r="KC19" s="516"/>
      <c r="KE19" s="516"/>
      <c r="KF19" s="516"/>
    </row>
    <row r="20" spans="2:292" ht="16.5" x14ac:dyDescent="0.3">
      <c r="I20" s="543">
        <f>+I19+1</f>
        <v>17</v>
      </c>
      <c r="J20" s="654">
        <f>FR20</f>
        <v>17</v>
      </c>
      <c r="K20" s="655" t="s">
        <v>406</v>
      </c>
      <c r="L20" s="991">
        <v>541796612.53490055</v>
      </c>
      <c r="M20" s="657">
        <f>L20/$L$28</f>
        <v>0.24665646116650417</v>
      </c>
      <c r="N20" s="656">
        <v>1263</v>
      </c>
      <c r="O20" s="656">
        <f>IFERROR(L20/N20,0)</f>
        <v>428975.94024932745</v>
      </c>
      <c r="P20" s="657">
        <f>O20/$O$28</f>
        <v>0.24041282464059607</v>
      </c>
      <c r="Q20" s="658" t="s">
        <v>379</v>
      </c>
      <c r="U20" s="545">
        <f>+U19+1</f>
        <v>17</v>
      </c>
      <c r="V20" s="669">
        <f>FR20</f>
        <v>17</v>
      </c>
      <c r="W20" s="655" t="s">
        <v>406</v>
      </c>
      <c r="X20" s="646">
        <f>SUM(FT20:FX20)</f>
        <v>21703606.494485281</v>
      </c>
      <c r="Y20" s="657">
        <f>SUM(FT20:FX20)/SUM($FT$28:$FX$28)</f>
        <v>0.22428284146535057</v>
      </c>
      <c r="AC20" s="545">
        <f>+AC19+1</f>
        <v>17</v>
      </c>
      <c r="AD20" s="678">
        <v>17</v>
      </c>
      <c r="AE20" s="679" t="s">
        <v>406</v>
      </c>
      <c r="AF20" s="680">
        <v>2.61</v>
      </c>
      <c r="AP20" s="545">
        <f>+AP19+1</f>
        <v>17</v>
      </c>
      <c r="AQ20" s="693">
        <f>FR20</f>
        <v>17</v>
      </c>
      <c r="AR20" s="655" t="s">
        <v>406</v>
      </c>
      <c r="AS20" s="655">
        <f>VLOOKUP(AQ20,$AD$4:$AF$27,$AS$30,FALSE)</f>
        <v>2.61</v>
      </c>
      <c r="AT20" s="694">
        <f>L20</f>
        <v>541796612.53490055</v>
      </c>
      <c r="AU20" s="694">
        <f>AT20*AS20/3600</f>
        <v>392802.54408780287</v>
      </c>
      <c r="AV20" s="695">
        <f>AU20*$AL$5/$AU$28</f>
        <v>405500.59357053408</v>
      </c>
      <c r="AW20" s="696">
        <f>$AL$6</f>
        <v>21.592508896755888</v>
      </c>
      <c r="AX20" s="646">
        <f>AV20*AW20</f>
        <v>8755775.1743115503</v>
      </c>
      <c r="AY20" s="544">
        <f>AX20/$AX$28</f>
        <v>0.20791606018878622</v>
      </c>
      <c r="AZ20" s="548">
        <f>IF($AT20=0,0,ROUND(IF(VLOOKUP(AQ20,$AQ$4:$AT$27,$AZ$30,FALSE)&lt;&gt;0,AX20/VLOOKUP(AQ20,$AQ$4:$AT$27,$AZ$30,FALSE)*100,""),6))</f>
        <v>1.616063</v>
      </c>
      <c r="BK20" s="543">
        <f>+BK19+1</f>
        <v>17</v>
      </c>
      <c r="BL20" s="658">
        <f>FR20</f>
        <v>17</v>
      </c>
      <c r="BM20" s="655" t="s">
        <v>406</v>
      </c>
      <c r="BN20" s="657">
        <f>VLOOKUP(BL20,$AQ$4:$AY$28,$BN$33,FALSE)</f>
        <v>0.20791606018878622</v>
      </c>
      <c r="BO20" s="646">
        <f>BN20*$BO$28</f>
        <v>1993231.5738609463</v>
      </c>
      <c r="BP20" s="657">
        <f>VLOOKUP(BL20,$J$4:$M$27,$BP$33,FALSE)</f>
        <v>0.24665646116650417</v>
      </c>
      <c r="BQ20" s="646">
        <f>BP20*$BQ$28</f>
        <v>2364624.6752053397</v>
      </c>
      <c r="BR20" s="708">
        <f>BQ20+BO20</f>
        <v>4357856.2490662858</v>
      </c>
      <c r="BS20" s="709">
        <f>IF($AT20=0,0,ROUND(IF(VLOOKUP(BL20,$AQ$4:$AT$27,$AZ$30,FALSE)&lt;&gt;0,BR20/VLOOKUP(BL20,$AQ$4:$AT$27,$AZ$30,FALSE)*100,""),6))</f>
        <v>0.80433399999999999</v>
      </c>
      <c r="BV20" s="15"/>
      <c r="BW20" s="190"/>
      <c r="BX20" s="190"/>
      <c r="BY20" s="190"/>
      <c r="BZ20" s="190"/>
      <c r="CA20" s="190"/>
      <c r="CB20" s="190"/>
      <c r="CC20" s="190"/>
      <c r="CD20" s="190"/>
      <c r="CH20" s="543">
        <f>+CH19+1</f>
        <v>17</v>
      </c>
      <c r="CI20" s="678">
        <f>FR20</f>
        <v>17</v>
      </c>
      <c r="CJ20" s="655" t="s">
        <v>406</v>
      </c>
      <c r="CK20" s="657">
        <f>VLOOKUP(CI20,$J$4:$M$27,$CK$32,FALSE)</f>
        <v>0.24665646116650417</v>
      </c>
      <c r="CL20" s="646">
        <f>CK20*$CL$28</f>
        <v>1445835.7429885562</v>
      </c>
      <c r="CM20" s="657">
        <f>VLOOKUP(CI20,$J$4:$P$27,$CM$32,FALSE)</f>
        <v>0.24041282464059607</v>
      </c>
      <c r="CN20" s="646">
        <f>CM20*$CN$28</f>
        <v>4618805.8863764592</v>
      </c>
      <c r="CO20" s="646">
        <f>CN20+CL20</f>
        <v>6064641.6293650158</v>
      </c>
      <c r="CP20" s="657">
        <f>CO20/$CO$28</f>
        <v>0.24187246330240256</v>
      </c>
      <c r="CQ20" s="709">
        <f>IF($AT20=0,0,ROUND(IF(VLOOKUP(CI20,$AQ$4:$AT$27,$AZ$30,FALSE)&lt;&gt;0,CO20/VLOOKUP(CI20,$AQ$4:$AT$27,$AZ$30,FALSE)*100,""),6))</f>
        <v>1.1193580000000001</v>
      </c>
      <c r="DD20" s="15"/>
      <c r="DG20" s="545">
        <f>+DG19+1</f>
        <v>17</v>
      </c>
      <c r="DH20" s="739">
        <f>FR20</f>
        <v>17</v>
      </c>
      <c r="DI20" s="655" t="s">
        <v>406</v>
      </c>
      <c r="DJ20" s="657">
        <f>VLOOKUP(DH20,$CI$4:$CP$27,$DJ$33,FALSE)</f>
        <v>0.24187246330240256</v>
      </c>
      <c r="DK20" s="646">
        <f>DJ20*$DK$28</f>
        <v>91112.083365062324</v>
      </c>
      <c r="DL20" s="657">
        <f>VLOOKUP(DH20,$J$4:$Q$27,$DL$33,FALSE)</f>
        <v>0.24041282464059607</v>
      </c>
      <c r="DM20" s="646">
        <f>DL20*$DM$28</f>
        <v>588563.1729048671</v>
      </c>
      <c r="DN20" s="657">
        <f>VLOOKUP(DH20,$J$4:$Q$27,$DN$33,FALSE)</f>
        <v>0.24665646116650417</v>
      </c>
      <c r="DO20" s="646">
        <f>DN20*$DO$28</f>
        <v>875350.23874660197</v>
      </c>
      <c r="DP20" s="646">
        <f>DK20+DM20+DO20</f>
        <v>1555025.4950165316</v>
      </c>
      <c r="DQ20" s="657">
        <f>DP20/$DP$28</f>
        <v>0.24397553949033651</v>
      </c>
      <c r="DR20" s="709">
        <f>IF($AT20=0,0,ROUND(IF(VLOOKUP(DH20,$AQ$4:$AT$27,$AZ$30,FALSE)&lt;&gt;0,DP20/VLOOKUP(DH20,$AQ$4:$AT$27,$AZ$30,FALSE)*100,""),6))</f>
        <v>0.28701300000000002</v>
      </c>
      <c r="DV20" s="545">
        <f>+DV19+1</f>
        <v>17</v>
      </c>
      <c r="DW20" s="739">
        <f>GG20</f>
        <v>17</v>
      </c>
      <c r="DX20" s="655" t="s">
        <v>406</v>
      </c>
      <c r="DY20" s="657">
        <f>VLOOKUP(DW20,$J$4:$Q$27,$DY$33,FALSE)</f>
        <v>0.24041282464059607</v>
      </c>
      <c r="DZ20" s="646">
        <f>DY20*$DZ$28</f>
        <v>970307.94672589633</v>
      </c>
      <c r="EA20" s="709">
        <f>IF($AT20=0,0,ROUND(IF(VLOOKUP(DW20,$AQ$4:$AT$27,$AZ$30,FALSE)&lt;&gt;0,DZ20/VLOOKUP(DW20,$AQ$4:$AT$27,$AZ$30,FALSE)*100,""),6))</f>
        <v>0.179091</v>
      </c>
      <c r="EM20" s="545">
        <f>+EM19+1</f>
        <v>17</v>
      </c>
      <c r="EN20" s="739">
        <f>FR20</f>
        <v>17</v>
      </c>
      <c r="EO20" s="655" t="s">
        <v>406</v>
      </c>
      <c r="EP20" s="657">
        <f>VLOOKUP(EN20,$V$4:$Y$27,$EP$33,FALSE)</f>
        <v>0.22428284146535057</v>
      </c>
      <c r="EQ20" s="646">
        <f>EP20*$EQ$28</f>
        <v>1764829.5422219881</v>
      </c>
      <c r="ER20" s="657">
        <f>VLOOKUP(EN20,$CI$4:$CP$27,$ER$33,FALSE)</f>
        <v>0.24187246330240256</v>
      </c>
      <c r="ES20" s="646">
        <f>ER20*$ES$28</f>
        <v>245676.16989872197</v>
      </c>
      <c r="ET20" s="657">
        <f>VLOOKUP(EN20,$J$4:$M$27,$ET$33,FALSE)</f>
        <v>0.24665646116650417</v>
      </c>
      <c r="EU20" s="646">
        <f>ET20*$EU$28</f>
        <v>1060570.0831114289</v>
      </c>
      <c r="EV20" s="646">
        <f>EQ20+ES20+EU20</f>
        <v>3071075.7952321386</v>
      </c>
      <c r="EW20" s="657">
        <f>EV20/$EV$28</f>
        <v>0.23293466184854839</v>
      </c>
      <c r="EX20" s="709">
        <f>IF($AT20=0,0,ROUND(IF(VLOOKUP(EN20,$AQ$4:$AT$27,$AZ$30,FALSE)&lt;&gt;0,EV20/VLOOKUP(EN20,$AQ$4:$AT$27,$AZ$30,FALSE)*100,""),6))</f>
        <v>0.566832</v>
      </c>
      <c r="FH20" s="545">
        <f>+FH19+1</f>
        <v>17</v>
      </c>
      <c r="FI20" s="669">
        <f>FR20</f>
        <v>17</v>
      </c>
      <c r="FJ20" s="655" t="s">
        <v>406</v>
      </c>
      <c r="FK20" s="657">
        <f>Y20</f>
        <v>0.22428284146535057</v>
      </c>
      <c r="FL20" s="646">
        <f>Y20*$FL$28</f>
        <v>4427075.6680045975</v>
      </c>
      <c r="FM20" s="709">
        <f>IF($AT20=0,0,ROUND(IF(VLOOKUP(FI20,$AQ$4:$AT$27,$AZ$30,FALSE)&lt;&gt;0,FL20/VLOOKUP(FI20,$AQ$4:$AT$27,$AZ$30,FALSE)*100,""),6))</f>
        <v>0.81711</v>
      </c>
      <c r="FQ20" s="543">
        <v>17</v>
      </c>
      <c r="FR20" s="669">
        <v>17</v>
      </c>
      <c r="FS20" s="655" t="s">
        <v>406</v>
      </c>
      <c r="FT20" s="646">
        <f>VLOOKUP(FR20,$AQ$4:$AZ$27,$FT$33,FALSE)</f>
        <v>8755775.1743115503</v>
      </c>
      <c r="FU20" s="646">
        <f>VLOOKUP(FR20,$BL$4:$BS$86,$FU$33,FALSE)</f>
        <v>4357856.2490662858</v>
      </c>
      <c r="FV20" s="646">
        <f>VLOOKUP(FR20,$CI$4:$CQ$27,$FV$33,FALSE)</f>
        <v>6064641.6293650158</v>
      </c>
      <c r="FW20" s="646">
        <f>VLOOKUP(FR20,$DH$4:$DP$27,$FW$33,FALSE)</f>
        <v>1555025.4950165316</v>
      </c>
      <c r="FX20" s="646">
        <f>VLOOKUP(FR20,$DW$4:$EA$27,$FX$33,FALSE)</f>
        <v>970307.94672589633</v>
      </c>
      <c r="FY20" s="646">
        <f>VLOOKUP(FR20,$EN$4:$EV$28,$FY$34,FALSE)</f>
        <v>3071075.7952321386</v>
      </c>
      <c r="FZ20" s="646">
        <f>VLOOKUP(FR20,$FI$4:$FL$27,$FZ$33,FALSE)</f>
        <v>4427075.6680045975</v>
      </c>
      <c r="GA20" s="646">
        <f>SUM(FT20:FZ20)</f>
        <v>29201757.957722019</v>
      </c>
      <c r="GB20" s="746">
        <f>IF($AT20=0,0,ROUND(IF(VLOOKUP(FR20,$AQ$4:$AT$27,$AZ$30,FALSE)&lt;&gt;0,GA20/VLOOKUP(FR20,$AQ$4:$AT$27,$AZ$30,FALSE)*100,""),6))</f>
        <v>5.3898010000000003</v>
      </c>
      <c r="GF20" s="545">
        <f>+GF19+1</f>
        <v>17</v>
      </c>
      <c r="GG20" s="669">
        <f>FR20</f>
        <v>17</v>
      </c>
      <c r="GH20" s="655" t="s">
        <v>406</v>
      </c>
      <c r="GI20" s="709">
        <f>VLOOKUP(GG20,$AQ$4:$AZ$27,$GI$31,FALSE)</f>
        <v>1.616063</v>
      </c>
      <c r="GJ20" s="709">
        <f>VLOOKUP(GG20,$BL$4:$BS$27,$GJ$31,FALSE)</f>
        <v>0.80433399999999999</v>
      </c>
      <c r="GK20" s="709">
        <f>VLOOKUP(GG20,$CI$4:$CQ$27,$GK$31,FALSE)</f>
        <v>1.1193580000000001</v>
      </c>
      <c r="GL20" s="709">
        <f>VLOOKUP(GG20,$DH$4:$DR$27,$GL$31,FALSE)</f>
        <v>0.28701300000000002</v>
      </c>
      <c r="GM20" s="709">
        <f>VLOOKUP(GG20,$DW$4:$EA$27,$GM$31,FALSE)</f>
        <v>0.179091</v>
      </c>
      <c r="GN20" s="709">
        <f>VLOOKUP(GG20,$EN$4:$EX$28,$GN$31,FALSE)</f>
        <v>0.566832</v>
      </c>
      <c r="GO20" s="709">
        <f>VLOOKUP(GG20,$FI$4:$FM$27,$GO$31,FALSE)</f>
        <v>0.81711</v>
      </c>
      <c r="GP20" s="709">
        <f>VLOOKUP(GG20,$FR$4:$GB$27,$GP$31,FALSE)</f>
        <v>5.3898010000000003</v>
      </c>
      <c r="GQ20" s="656">
        <f>L20</f>
        <v>541796612.53490055</v>
      </c>
      <c r="GR20" s="530"/>
      <c r="GU20" s="543">
        <f>+GU19+1</f>
        <v>17</v>
      </c>
      <c r="GV20" s="669">
        <f>FR20</f>
        <v>17</v>
      </c>
      <c r="GW20" s="655" t="s">
        <v>406</v>
      </c>
      <c r="GX20" s="658" t="s">
        <v>379</v>
      </c>
      <c r="GY20" s="646">
        <f>GA20</f>
        <v>29201757.957722019</v>
      </c>
      <c r="GZ20" s="656">
        <f>VLOOKUP(GV20,$GG$4:$GQ$27,$GZ$34,FALSE)</f>
        <v>541796612.53490055</v>
      </c>
      <c r="HA20" s="709">
        <f>IF(GW20="Specialty Containers",$HA$31,ROUND(IF(GZ20&lt;&gt;0,GY20/GZ20*100,0),6))</f>
        <v>5.3898010000000003</v>
      </c>
      <c r="HB20" s="646">
        <f>ROUND(HA20,10)*GZ20/100</f>
        <v>29201759.240372196</v>
      </c>
      <c r="HC20" s="749">
        <f>HB20-GY20</f>
        <v>1.282650176435709</v>
      </c>
      <c r="HD20" s="549"/>
      <c r="HG20" s="549"/>
      <c r="HH20" s="549"/>
      <c r="HI20" s="549"/>
      <c r="HJ20" s="549"/>
      <c r="HK20" s="549"/>
      <c r="HL20" s="549"/>
      <c r="HM20" s="549"/>
      <c r="HP20" s="545">
        <f>+HP19+1</f>
        <v>17</v>
      </c>
      <c r="HQ20" s="761">
        <f>FR20</f>
        <v>17</v>
      </c>
      <c r="HR20" s="655" t="s">
        <v>406</v>
      </c>
      <c r="HS20" s="656">
        <f>L20</f>
        <v>541796612.53490055</v>
      </c>
      <c r="HT20" s="756">
        <f>HA20</f>
        <v>5.3898010000000003</v>
      </c>
      <c r="HU20" s="756">
        <v>4.7273310000000004</v>
      </c>
      <c r="HV20" s="647">
        <f>IF(HU20&lt;&gt;0,HT20/HU20-1,"")</f>
        <v>0.14013615716775485</v>
      </c>
      <c r="HW20" s="756">
        <f>HT20-HU20</f>
        <v>0.66246999999999989</v>
      </c>
      <c r="HX20" s="648">
        <v>10</v>
      </c>
      <c r="IO20" s="545">
        <v>17</v>
      </c>
      <c r="IP20" s="761">
        <v>17</v>
      </c>
      <c r="IQ20" s="655" t="s">
        <v>406</v>
      </c>
      <c r="IR20" s="769">
        <f>GY20</f>
        <v>29201757.957722019</v>
      </c>
      <c r="IS20" s="770">
        <f>GZ20</f>
        <v>541796612.53490055</v>
      </c>
      <c r="IT20" s="771">
        <f>HA20</f>
        <v>5.3898010000000003</v>
      </c>
      <c r="IU20" s="656">
        <f>IS20*$IJ$4/(1-$IK$4)</f>
        <v>79194882.544481069</v>
      </c>
      <c r="IV20" s="656">
        <f>IS20-IU20</f>
        <v>462601729.99041951</v>
      </c>
      <c r="IW20" s="769">
        <f>IU20*$IH$4</f>
        <v>1187923.2381672161</v>
      </c>
      <c r="IX20" s="769">
        <f>IR20-IW20</f>
        <v>28013834.719554804</v>
      </c>
      <c r="IY20" s="550">
        <f>IX20/IS20*100</f>
        <v>5.1705444573539587</v>
      </c>
      <c r="IZ20" s="550">
        <f>IY20+1.5</f>
        <v>6.6705444573539587</v>
      </c>
      <c r="JA20" s="769">
        <f>(IY20*IV20+IZ20*IU20)/100</f>
        <v>29201757.957722023</v>
      </c>
      <c r="JB20" s="746">
        <f>IT20-IY20</f>
        <v>0.21925654264604155</v>
      </c>
      <c r="JF20" s="545">
        <f>+JF19+1</f>
        <v>17</v>
      </c>
      <c r="JG20" s="761">
        <f>FR20</f>
        <v>17</v>
      </c>
      <c r="JH20" s="655" t="s">
        <v>406</v>
      </c>
      <c r="JI20" s="656">
        <f>L20</f>
        <v>541796612.53490055</v>
      </c>
      <c r="JJ20" s="756">
        <f>IY20</f>
        <v>5.1705444573539587</v>
      </c>
      <c r="JK20" s="756">
        <v>4.505097789107122</v>
      </c>
      <c r="JL20" s="647">
        <f>IF(JK20&lt;&gt;0,JJ20/JK20-1,"")</f>
        <v>0.14770970562632857</v>
      </c>
      <c r="JM20" s="756">
        <f>JJ20-JK20</f>
        <v>0.66544666824683674</v>
      </c>
      <c r="JN20" s="648">
        <v>10</v>
      </c>
      <c r="JS20" s="756">
        <v>5.1865792670674784</v>
      </c>
      <c r="JT20" s="756">
        <f>JJ20-JS20</f>
        <v>-1.6034809713519671E-2</v>
      </c>
      <c r="JU20" s="1009">
        <v>537876661</v>
      </c>
      <c r="JV20" s="1009">
        <f>JU20-JI20</f>
        <v>-3919951.5349005461</v>
      </c>
      <c r="JW20" s="1069">
        <f>JT20/JS20</f>
        <v>-3.0915963851808333E-3</v>
      </c>
      <c r="JX20" s="997">
        <v>27897399.381820828</v>
      </c>
      <c r="JY20" s="997">
        <f>JI20*JJ20/100</f>
        <v>28013834.719554804</v>
      </c>
      <c r="JZ20" s="516"/>
      <c r="KA20" s="516"/>
      <c r="KB20" s="516"/>
      <c r="KC20" s="516"/>
      <c r="KE20" s="516"/>
      <c r="KF20" s="516"/>
    </row>
    <row r="21" spans="2:292" ht="16.5" x14ac:dyDescent="0.3">
      <c r="I21" s="222">
        <f>+I20+1</f>
        <v>18</v>
      </c>
      <c r="J21" s="659">
        <f>FR21</f>
        <v>18</v>
      </c>
      <c r="K21" s="660" t="s">
        <v>407</v>
      </c>
      <c r="L21" s="991">
        <v>54473415.37791153</v>
      </c>
      <c r="M21" s="662">
        <f>L21/$L$28</f>
        <v>2.4799379608345509E-2</v>
      </c>
      <c r="N21" s="661">
        <v>354</v>
      </c>
      <c r="O21" s="661">
        <f>IFERROR(L21/N21,0)</f>
        <v>153879.7044573772</v>
      </c>
      <c r="P21" s="662">
        <f>O21/$O$28</f>
        <v>8.6239462245729467E-2</v>
      </c>
      <c r="Q21" s="663" t="s">
        <v>379</v>
      </c>
      <c r="U21" s="551">
        <f>+U20+1</f>
        <v>18</v>
      </c>
      <c r="V21" s="670">
        <f>FR21</f>
        <v>18</v>
      </c>
      <c r="W21" s="660" t="s">
        <v>407</v>
      </c>
      <c r="X21" s="671">
        <f>SUM(FT21:FX21)</f>
        <v>6217268.0099057453</v>
      </c>
      <c r="Y21" s="662">
        <f>SUM(FT21:FX21)/SUM($FT$28:$FX$28)</f>
        <v>6.4248609362116793E-2</v>
      </c>
      <c r="AC21" s="551">
        <f>+AC20+1</f>
        <v>18</v>
      </c>
      <c r="AD21" s="681">
        <v>18</v>
      </c>
      <c r="AE21" s="682" t="s">
        <v>407</v>
      </c>
      <c r="AF21" s="683">
        <v>8.4600000000000009</v>
      </c>
      <c r="AP21" s="551">
        <f>+AP20+1</f>
        <v>18</v>
      </c>
      <c r="AQ21" s="697">
        <f>FR21</f>
        <v>18</v>
      </c>
      <c r="AR21" s="660" t="s">
        <v>407</v>
      </c>
      <c r="AS21" s="660">
        <f>VLOOKUP(AQ21,$AD$4:$AF$27,$AS$30,FALSE)</f>
        <v>8.4600000000000009</v>
      </c>
      <c r="AT21" s="698">
        <f>L21</f>
        <v>54473415.37791153</v>
      </c>
      <c r="AU21" s="698">
        <f>AT21*AS21/3600</f>
        <v>128012.52613809211</v>
      </c>
      <c r="AV21" s="699">
        <f>AU21*$AL$5/$AU$28</f>
        <v>132150.76153339943</v>
      </c>
      <c r="AW21" s="700">
        <f>$AL$6</f>
        <v>21.592508896755888</v>
      </c>
      <c r="AX21" s="671">
        <f>AV21*AW21</f>
        <v>2853466.4941229932</v>
      </c>
      <c r="AY21" s="465">
        <f>AX21/$AX$28</f>
        <v>6.7758879085815446E-2</v>
      </c>
      <c r="AZ21" s="553">
        <f>IF($AT21=0,0,ROUND(IF(VLOOKUP(AQ21,$AQ$4:$AT$27,$AZ$30,FALSE)&lt;&gt;0,AX21/VLOOKUP(AQ21,$AQ$4:$AT$27,$AZ$30,FALSE)*100,""),6))</f>
        <v>5.2382739999999997</v>
      </c>
      <c r="BK21" s="222">
        <f>+BK20+1</f>
        <v>18</v>
      </c>
      <c r="BL21" s="663">
        <f>FR21</f>
        <v>18</v>
      </c>
      <c r="BM21" s="660" t="s">
        <v>407</v>
      </c>
      <c r="BN21" s="662">
        <f>VLOOKUP(BL21,$AQ$4:$AY$28,$BN$33,FALSE)</f>
        <v>6.7758879085815446E-2</v>
      </c>
      <c r="BO21" s="671">
        <f>BN21*$BO$28</f>
        <v>649584.91941719549</v>
      </c>
      <c r="BP21" s="662">
        <f>VLOOKUP(BL21,$J$4:$M$27,$BP$33,FALSE)</f>
        <v>2.4799379608345509E-2</v>
      </c>
      <c r="BQ21" s="671">
        <f>BP21*$BQ$28</f>
        <v>237744.53210894187</v>
      </c>
      <c r="BR21" s="710">
        <f>BQ21+BO21</f>
        <v>887329.4515261373</v>
      </c>
      <c r="BS21" s="711">
        <f>IF($AT21=0,0,ROUND(IF(VLOOKUP(BL21,$AQ$4:$AT$27,$AZ$30,FALSE)&lt;&gt;0,BR21/VLOOKUP(BL21,$AQ$4:$AT$27,$AZ$30,FALSE)*100,""),6))</f>
        <v>1.628922</v>
      </c>
      <c r="BV21" s="15"/>
      <c r="BW21" s="190"/>
      <c r="BX21" s="190"/>
      <c r="BY21" s="190"/>
      <c r="BZ21" s="190"/>
      <c r="CA21" s="190"/>
      <c r="CB21" s="190"/>
      <c r="CC21" s="190"/>
      <c r="CD21" s="190"/>
      <c r="CH21" s="222">
        <f>+CH20+1</f>
        <v>18</v>
      </c>
      <c r="CI21" s="681">
        <f>FR21</f>
        <v>18</v>
      </c>
      <c r="CJ21" s="660" t="s">
        <v>407</v>
      </c>
      <c r="CK21" s="723">
        <f>VLOOKUP(CI21,$J$4:$M$27,$CK$32,FALSE)</f>
        <v>2.4799379608345509E-2</v>
      </c>
      <c r="CL21" s="650">
        <f>CK21*$CL$28</f>
        <v>145367.48509289278</v>
      </c>
      <c r="CM21" s="723">
        <f>VLOOKUP(CI21,$J$4:$P$27,$CM$32,FALSE)</f>
        <v>8.6239462245729467E-2</v>
      </c>
      <c r="CN21" s="650">
        <f>CM21*$CN$28</f>
        <v>1656830.6472584694</v>
      </c>
      <c r="CO21" s="650">
        <f>CN21+CL21</f>
        <v>1802198.1323513621</v>
      </c>
      <c r="CP21" s="723">
        <f>CO21/$CO$28</f>
        <v>7.1875986788761559E-2</v>
      </c>
      <c r="CQ21" s="724">
        <f>IF($AT21=0,0,ROUND(IF(VLOOKUP(CI21,$AQ$4:$AT$27,$AZ$30,FALSE)&lt;&gt;0,CO21/VLOOKUP(CI21,$AQ$4:$AT$27,$AZ$30,FALSE)*100,""),6))</f>
        <v>3.3083990000000001</v>
      </c>
      <c r="DD21" s="15"/>
      <c r="DG21" s="551">
        <f>+DG20+1</f>
        <v>18</v>
      </c>
      <c r="DH21" s="677">
        <f>FR21</f>
        <v>18</v>
      </c>
      <c r="DI21" s="660" t="s">
        <v>407</v>
      </c>
      <c r="DJ21" s="723">
        <f>VLOOKUP(DH21,$CI$4:$CP$27,$DJ$33,FALSE)</f>
        <v>7.1875986788761559E-2</v>
      </c>
      <c r="DK21" s="650">
        <f>DJ21*$DK$28</f>
        <v>27075.305765816425</v>
      </c>
      <c r="DL21" s="723">
        <f>VLOOKUP(DH21,$J$4:$Q$27,$DL$33,FALSE)</f>
        <v>8.6239462245729467E-2</v>
      </c>
      <c r="DM21" s="650">
        <f>DL21*$DM$28</f>
        <v>211125.88983069226</v>
      </c>
      <c r="DN21" s="723">
        <f>VLOOKUP(DH21,$J$4:$Q$27,$DN$33,FALSE)</f>
        <v>2.4799379608345509E-2</v>
      </c>
      <c r="DO21" s="650">
        <f>DN21*$DO$28</f>
        <v>88009.62585074504</v>
      </c>
      <c r="DP21" s="650">
        <f>DK21+DM21+DO21</f>
        <v>326210.82144725369</v>
      </c>
      <c r="DQ21" s="723">
        <f>DP21/$DP$28</f>
        <v>5.1180807906518251E-2</v>
      </c>
      <c r="DR21" s="724">
        <f>IF($AT21=0,0,ROUND(IF(VLOOKUP(DH21,$AQ$4:$AT$27,$AZ$30,FALSE)&lt;&gt;0,DP21/VLOOKUP(DH21,$AQ$4:$AT$27,$AZ$30,FALSE)*100,""),6))</f>
        <v>0.59884400000000004</v>
      </c>
      <c r="DV21" s="551">
        <f>+DV20+1</f>
        <v>18</v>
      </c>
      <c r="DW21" s="677">
        <f>GG21</f>
        <v>18</v>
      </c>
      <c r="DX21" s="660" t="s">
        <v>407</v>
      </c>
      <c r="DY21" s="723">
        <f>VLOOKUP(DW21,$J$4:$Q$27,$DY$33,FALSE)</f>
        <v>8.6239462245729467E-2</v>
      </c>
      <c r="DZ21" s="650">
        <f>DY21*$DZ$28</f>
        <v>348063.11045799853</v>
      </c>
      <c r="EA21" s="724">
        <f>IF($AT21=0,0,ROUND(IF(VLOOKUP(DW21,$AQ$4:$AT$27,$AZ$30,FALSE)&lt;&gt;0,DZ21/VLOOKUP(DW21,$AQ$4:$AT$27,$AZ$30,FALSE)*100,""),6))</f>
        <v>0.63895999999999997</v>
      </c>
      <c r="EM21" s="551">
        <f>+EM20+1</f>
        <v>18</v>
      </c>
      <c r="EN21" s="677">
        <f>FR21</f>
        <v>18</v>
      </c>
      <c r="EO21" s="660" t="s">
        <v>407</v>
      </c>
      <c r="EP21" s="723">
        <f>VLOOKUP(EN21,$V$4:$Y$27,$EP$33,FALSE)</f>
        <v>6.4248609362116793E-2</v>
      </c>
      <c r="EQ21" s="650">
        <f>EP21*$EQ$28</f>
        <v>505557.37170139782</v>
      </c>
      <c r="ER21" s="723">
        <f>VLOOKUP(EN21,$CI$4:$CP$27,$ER$33,FALSE)</f>
        <v>7.1875986788761559E-2</v>
      </c>
      <c r="ES21" s="650">
        <f>ER21*$ES$28</f>
        <v>73006.314571149764</v>
      </c>
      <c r="ET21" s="723">
        <f>VLOOKUP(EN21,$J$4:$M$27,$ET$33,FALSE)</f>
        <v>2.4799379608345509E-2</v>
      </c>
      <c r="EU21" s="650">
        <f>ET21*$EU$28</f>
        <v>106632.03375232159</v>
      </c>
      <c r="EV21" s="650">
        <f>EQ21+ES21+EU21</f>
        <v>685195.7200248692</v>
      </c>
      <c r="EW21" s="723">
        <f>EV21/$EV$28</f>
        <v>5.1970659139007391E-2</v>
      </c>
      <c r="EX21" s="724">
        <f>IF($AT21=0,0,ROUND(IF(VLOOKUP(EN21,$AQ$4:$AT$27,$AZ$30,FALSE)&lt;&gt;0,EV21/VLOOKUP(EN21,$AQ$4:$AT$27,$AZ$30,FALSE)*100,""),6))</f>
        <v>1.2578530000000001</v>
      </c>
      <c r="FH21" s="551">
        <f>+FH20+1</f>
        <v>18</v>
      </c>
      <c r="FI21" s="670">
        <f>FR21</f>
        <v>18</v>
      </c>
      <c r="FJ21" s="660" t="s">
        <v>407</v>
      </c>
      <c r="FK21" s="723">
        <f>Y21</f>
        <v>6.4248609362116793E-2</v>
      </c>
      <c r="FL21" s="650">
        <f>Y21*$FL$28</f>
        <v>1268190.8850084804</v>
      </c>
      <c r="FM21" s="724">
        <f>IF($AT21=0,0,ROUND(IF(VLOOKUP(FI21,$AQ$4:$AT$27,$AZ$30,FALSE)&lt;&gt;0,FL21/VLOOKUP(FI21,$AQ$4:$AT$27,$AZ$30,FALSE)*100,""),6))</f>
        <v>2.3280910000000001</v>
      </c>
      <c r="FQ21" s="222">
        <v>18</v>
      </c>
      <c r="FR21" s="670">
        <v>18</v>
      </c>
      <c r="FS21" s="660" t="s">
        <v>407</v>
      </c>
      <c r="FT21" s="650">
        <f>VLOOKUP(FR21,$AQ$4:$AZ$27,$FT$33,FALSE)</f>
        <v>2853466.4941229932</v>
      </c>
      <c r="FU21" s="650">
        <f>VLOOKUP(FR21,$BL$4:$BS$86,$FU$33,FALSE)</f>
        <v>887329.4515261373</v>
      </c>
      <c r="FV21" s="650">
        <f>VLOOKUP(FR21,$CI$4:$CQ$27,$FV$33,FALSE)</f>
        <v>1802198.1323513621</v>
      </c>
      <c r="FW21" s="650">
        <f>VLOOKUP(FR21,$DH$4:$DP$27,$FW$33,FALSE)</f>
        <v>326210.82144725369</v>
      </c>
      <c r="FX21" s="650">
        <f>VLOOKUP(FR21,$DW$4:$EA$27,$FX$33,FALSE)</f>
        <v>348063.11045799853</v>
      </c>
      <c r="FY21" s="650">
        <f>VLOOKUP(FR21,$EN$4:$EV$28,$FY$34,FALSE)</f>
        <v>685195.7200248692</v>
      </c>
      <c r="FZ21" s="650">
        <f>VLOOKUP(FR21,$FI$4:$FL$27,$FZ$33,FALSE)</f>
        <v>1268190.8850084804</v>
      </c>
      <c r="GA21" s="650">
        <f>SUM(FT21:FZ21)</f>
        <v>8170654.6149390945</v>
      </c>
      <c r="GB21" s="747">
        <f>IF($AT21=0,0,ROUND(IF(VLOOKUP(FR21,$AQ$4:$AT$27,$AZ$30,FALSE)&lt;&gt;0,GA21/VLOOKUP(FR21,$AQ$4:$AT$27,$AZ$30,FALSE)*100,""),6))</f>
        <v>14.999343</v>
      </c>
      <c r="GF21" s="551">
        <f>+GF20+1</f>
        <v>18</v>
      </c>
      <c r="GG21" s="670">
        <f>FR21</f>
        <v>18</v>
      </c>
      <c r="GH21" s="660" t="s">
        <v>407</v>
      </c>
      <c r="GI21" s="724">
        <f>VLOOKUP(GG21,$AQ$4:$AZ$27,$GI$31,FALSE)</f>
        <v>5.2382739999999997</v>
      </c>
      <c r="GJ21" s="724">
        <f>VLOOKUP(GG21,$BL$4:$BS$27,$GJ$31,FALSE)</f>
        <v>1.628922</v>
      </c>
      <c r="GK21" s="724">
        <f>VLOOKUP(GG21,$CI$4:$CQ$27,$GK$31,FALSE)</f>
        <v>3.3083990000000001</v>
      </c>
      <c r="GL21" s="724">
        <f>VLOOKUP(GG21,$DH$4:$DR$27,$GL$31,FALSE)</f>
        <v>0.59884400000000004</v>
      </c>
      <c r="GM21" s="724">
        <f>VLOOKUP(GG21,$DW$4:$EA$27,$GM$31,FALSE)</f>
        <v>0.63895999999999997</v>
      </c>
      <c r="GN21" s="724">
        <f>VLOOKUP(GG21,$EN$4:$EX$28,$GN$31,FALSE)</f>
        <v>1.2578530000000001</v>
      </c>
      <c r="GO21" s="724">
        <f>VLOOKUP(GG21,$FI$4:$FM$27,$GO$31,FALSE)</f>
        <v>2.3280910000000001</v>
      </c>
      <c r="GP21" s="724">
        <f>VLOOKUP(GG21,$FR$4:$GB$27,$GP$31,FALSE)</f>
        <v>14.999343</v>
      </c>
      <c r="GQ21" s="661">
        <f>L21</f>
        <v>54473415.37791153</v>
      </c>
      <c r="GR21" s="530"/>
      <c r="GU21" s="222">
        <f>+GU20+1</f>
        <v>18</v>
      </c>
      <c r="GV21" s="670">
        <f>FR21</f>
        <v>18</v>
      </c>
      <c r="GW21" s="660" t="s">
        <v>407</v>
      </c>
      <c r="GX21" s="663" t="s">
        <v>379</v>
      </c>
      <c r="GY21" s="671">
        <f>GA21</f>
        <v>8170654.6149390945</v>
      </c>
      <c r="GZ21" s="661">
        <f>VLOOKUP(GV21,$GG$4:$GQ$27,$GZ$34,FALSE)</f>
        <v>54473415.37791153</v>
      </c>
      <c r="HA21" s="724">
        <f>IF(GW21="Specialty Containers",$HA$31,ROUND(IF(GZ21&lt;&gt;0,GY21/GZ21*100,0),6))</f>
        <v>14.999343</v>
      </c>
      <c r="HB21" s="650">
        <f>ROUND(HA21,10)*GZ21/100</f>
        <v>8170654.4163476964</v>
      </c>
      <c r="HC21" s="750">
        <f>HB21-GY21</f>
        <v>-0.19859139807522297</v>
      </c>
      <c r="HD21" s="549"/>
      <c r="HG21" s="549"/>
      <c r="HH21" s="549"/>
      <c r="HI21" s="549"/>
      <c r="HJ21" s="549"/>
      <c r="HK21" s="549"/>
      <c r="HL21" s="549"/>
      <c r="HM21" s="549"/>
      <c r="HP21" s="551">
        <f>+HP20+1</f>
        <v>18</v>
      </c>
      <c r="HQ21" s="762">
        <f>FR21</f>
        <v>18</v>
      </c>
      <c r="HR21" s="660" t="s">
        <v>407</v>
      </c>
      <c r="HS21" s="661">
        <f>L21</f>
        <v>54473415.37791153</v>
      </c>
      <c r="HT21" s="757">
        <f>HA21</f>
        <v>14.999343</v>
      </c>
      <c r="HU21" s="757">
        <v>13.268026000000001</v>
      </c>
      <c r="HV21" s="651">
        <f>IF(HU21&lt;&gt;0,HT21/HU21-1,"")</f>
        <v>0.13048791131401161</v>
      </c>
      <c r="HW21" s="757">
        <f>HT21-HU21</f>
        <v>1.7313169999999989</v>
      </c>
      <c r="HX21" s="652">
        <v>25</v>
      </c>
      <c r="IO21" s="551">
        <v>18</v>
      </c>
      <c r="IP21" s="762">
        <v>18</v>
      </c>
      <c r="IQ21" s="660" t="s">
        <v>407</v>
      </c>
      <c r="IR21" s="772">
        <f>GY21</f>
        <v>8170654.6149390945</v>
      </c>
      <c r="IS21" s="773">
        <f>GZ21</f>
        <v>54473415.37791153</v>
      </c>
      <c r="IT21" s="774">
        <f>HA21</f>
        <v>14.999343</v>
      </c>
      <c r="IU21" s="661">
        <f>IS21*$IJ$4/(1-$IK$4)</f>
        <v>7962426.5505582858</v>
      </c>
      <c r="IV21" s="661">
        <f>IS21-IU21</f>
        <v>46510988.827353247</v>
      </c>
      <c r="IW21" s="772">
        <f>IU21*$IH$4</f>
        <v>119436.39825837428</v>
      </c>
      <c r="IX21" s="772">
        <f>IR21-IW21</f>
        <v>8051218.2166807204</v>
      </c>
      <c r="IY21" s="455">
        <f>IX21/IS21*100</f>
        <v>14.780087058659838</v>
      </c>
      <c r="IZ21" s="555">
        <f>IY21+1.5</f>
        <v>16.280087058659838</v>
      </c>
      <c r="JA21" s="772">
        <f>(IY21*IV21+IZ21*IU21)/100</f>
        <v>8170654.6149390945</v>
      </c>
      <c r="JB21" s="778">
        <f>IT21-IY21</f>
        <v>0.2192559413401618</v>
      </c>
      <c r="JF21" s="551">
        <f>+JF20+1</f>
        <v>18</v>
      </c>
      <c r="JG21" s="762">
        <f>FR21</f>
        <v>18</v>
      </c>
      <c r="JH21" s="660" t="s">
        <v>407</v>
      </c>
      <c r="JI21" s="661">
        <f>L21</f>
        <v>54473415.37791153</v>
      </c>
      <c r="JJ21" s="757">
        <f>IY21</f>
        <v>14.780087058659838</v>
      </c>
      <c r="JK21" s="757">
        <v>13.045793174517087</v>
      </c>
      <c r="JL21" s="651">
        <f>IF(JK21&lt;&gt;0,JJ21/JK21-1,"")</f>
        <v>0.13293893755194763</v>
      </c>
      <c r="JM21" s="757">
        <f>JJ21-JK21</f>
        <v>1.7342938841427511</v>
      </c>
      <c r="JN21" s="652">
        <v>25</v>
      </c>
      <c r="JS21" s="757">
        <v>14.823653001508386</v>
      </c>
      <c r="JT21" s="757">
        <f>JJ21-JS21</f>
        <v>-4.3565942848548644E-2</v>
      </c>
      <c r="JU21" s="1010">
        <v>54037187</v>
      </c>
      <c r="JV21" s="1010">
        <f>JU21-JI21</f>
        <v>-436228.37791153044</v>
      </c>
      <c r="JW21" s="1069">
        <f>JT21/JS21</f>
        <v>-2.9389478318276592E-3</v>
      </c>
      <c r="JX21" s="997">
        <v>8010285.0926561998</v>
      </c>
      <c r="JY21" s="997">
        <f>JI21*JJ21/100</f>
        <v>8051218.2166807195</v>
      </c>
      <c r="JZ21" s="516"/>
      <c r="KA21" s="516"/>
      <c r="KB21" s="516"/>
      <c r="KC21" s="516"/>
      <c r="KE21" s="516"/>
      <c r="KF21" s="516"/>
    </row>
    <row r="22" spans="2:292" ht="16.5" x14ac:dyDescent="0.3">
      <c r="I22" s="543">
        <v>19</v>
      </c>
      <c r="J22" s="654">
        <f>FR22</f>
        <v>19</v>
      </c>
      <c r="K22" s="655" t="s">
        <v>408</v>
      </c>
      <c r="L22" s="991">
        <v>1393.9101570990044</v>
      </c>
      <c r="M22" s="657">
        <f>L22/$L$28</f>
        <v>6.3458674081676518E-7</v>
      </c>
      <c r="N22" s="656">
        <v>25</v>
      </c>
      <c r="O22" s="656">
        <f>IFERROR(L22/N22,0)</f>
        <v>55.756406283960175</v>
      </c>
      <c r="P22" s="657">
        <f>O22/$O$28</f>
        <v>3.1247801726932781E-5</v>
      </c>
      <c r="Q22" s="658" t="s">
        <v>379</v>
      </c>
      <c r="U22" s="545">
        <f>+U21+1</f>
        <v>19</v>
      </c>
      <c r="V22" s="669">
        <f>FR22</f>
        <v>19</v>
      </c>
      <c r="W22" s="655" t="s">
        <v>408</v>
      </c>
      <c r="X22" s="646">
        <f>SUM(FT22:FX22)</f>
        <v>2213.693109103373</v>
      </c>
      <c r="Y22" s="657">
        <f>SUM(FT22:FX22)/SUM($FT$28:$FX$28)</f>
        <v>2.287607733618493E-5</v>
      </c>
      <c r="AC22" s="545">
        <f>+AC21+1</f>
        <v>19</v>
      </c>
      <c r="AD22" s="678">
        <v>19</v>
      </c>
      <c r="AE22" s="679" t="s">
        <v>408</v>
      </c>
      <c r="AF22" s="680">
        <v>131.15</v>
      </c>
      <c r="AP22" s="545">
        <f>+AP21+1</f>
        <v>19</v>
      </c>
      <c r="AQ22" s="693">
        <f>FR22</f>
        <v>19</v>
      </c>
      <c r="AR22" s="655" t="s">
        <v>408</v>
      </c>
      <c r="AS22" s="655">
        <f>VLOOKUP(AQ22,$AD$4:$AF$27,$AS$30,FALSE)</f>
        <v>131.15</v>
      </c>
      <c r="AT22" s="694">
        <f>L22</f>
        <v>1393.9101570990044</v>
      </c>
      <c r="AU22" s="694">
        <f>AT22*AS22/3600</f>
        <v>50.780921417648457</v>
      </c>
      <c r="AV22" s="695">
        <f>AU22*$AL$5/$AU$28</f>
        <v>52.422506134054593</v>
      </c>
      <c r="AW22" s="696">
        <f>$AL$6</f>
        <v>21.592508896755888</v>
      </c>
      <c r="AX22" s="646">
        <f>AV22*AW22</f>
        <v>1131.933430089814</v>
      </c>
      <c r="AY22" s="544">
        <f>AX22/$AX$28</f>
        <v>2.687907518122836E-5</v>
      </c>
      <c r="AZ22" s="548">
        <f>IF($AT22=0,0,ROUND(IF(VLOOKUP(AQ22,$AQ$4:$AT$27,$AZ$30,FALSE)&lt;&gt;0,AX22/VLOOKUP(AQ22,$AQ$4:$AT$27,$AZ$30,FALSE)*100,""),6))</f>
        <v>81.205623000000003</v>
      </c>
      <c r="BK22" s="543">
        <f>+BK21+1</f>
        <v>19</v>
      </c>
      <c r="BL22" s="658">
        <f>FR22</f>
        <v>19</v>
      </c>
      <c r="BM22" s="655" t="s">
        <v>408</v>
      </c>
      <c r="BN22" s="657">
        <f>VLOOKUP(BL22,$AQ$4:$AY$28,$BN$33,FALSE)</f>
        <v>2.687907518122836E-5</v>
      </c>
      <c r="BO22" s="646">
        <f>BN22*$BO$28</f>
        <v>257.68197646088379</v>
      </c>
      <c r="BP22" s="657">
        <f>VLOOKUP(BL22,$J$4:$M$27,$BP$33,FALSE)</f>
        <v>6.3458674081676518E-7</v>
      </c>
      <c r="BQ22" s="646">
        <f>BP22*$BQ$28</f>
        <v>6.0836008868241791</v>
      </c>
      <c r="BR22" s="708">
        <f>BQ22+BO22</f>
        <v>263.76557734770796</v>
      </c>
      <c r="BS22" s="709">
        <f>IF($AT22=0,0,ROUND(IF(VLOOKUP(BL22,$AQ$4:$AT$27,$AZ$30,FALSE)&lt;&gt;0,BR22/VLOOKUP(BL22,$AQ$4:$AT$27,$AZ$30,FALSE)*100,""),6))</f>
        <v>18.922709999999999</v>
      </c>
      <c r="BV22" s="15"/>
      <c r="BW22" s="190"/>
      <c r="BX22" s="190"/>
      <c r="BY22" s="190"/>
      <c r="BZ22" s="190"/>
      <c r="CA22" s="190"/>
      <c r="CB22" s="190"/>
      <c r="CC22" s="190"/>
      <c r="CD22" s="190"/>
      <c r="CH22" s="543">
        <f>+CH21+1</f>
        <v>19</v>
      </c>
      <c r="CI22" s="678">
        <f>FR22</f>
        <v>19</v>
      </c>
      <c r="CJ22" s="655" t="s">
        <v>408</v>
      </c>
      <c r="CK22" s="657">
        <f>VLOOKUP(CI22,$J$4:$M$27,$CK$32,FALSE)</f>
        <v>6.3458674081676518E-7</v>
      </c>
      <c r="CL22" s="646">
        <f>CK22*$CL$28</f>
        <v>3.7197817059417502</v>
      </c>
      <c r="CM22" s="657">
        <f>VLOOKUP(CI22,$J$4:$P$27,$CM$32,FALSE)</f>
        <v>3.1247801726932781E-5</v>
      </c>
      <c r="CN22" s="646">
        <f>CM22*$CN$28</f>
        <v>600.33207782672707</v>
      </c>
      <c r="CO22" s="646">
        <f>CN22+CL22</f>
        <v>604.0518595326688</v>
      </c>
      <c r="CP22" s="657">
        <f>CO22/$CO$28</f>
        <v>2.4091037880973833E-5</v>
      </c>
      <c r="CQ22" s="709">
        <f>IF($AT22=0,0,ROUND(IF(VLOOKUP(CI22,$AQ$4:$AT$27,$AZ$30,FALSE)&lt;&gt;0,CO22/VLOOKUP(CI22,$AQ$4:$AT$27,$AZ$30,FALSE)*100,""),6))</f>
        <v>43.335064000000003</v>
      </c>
      <c r="DD22" s="15"/>
      <c r="DG22" s="545">
        <f>+DG21+1</f>
        <v>19</v>
      </c>
      <c r="DH22" s="739">
        <f>FR22</f>
        <v>19</v>
      </c>
      <c r="DI22" s="655" t="s">
        <v>408</v>
      </c>
      <c r="DJ22" s="657">
        <f>VLOOKUP(DH22,$CI$4:$CP$27,$DJ$33,FALSE)</f>
        <v>2.4091037880973833E-5</v>
      </c>
      <c r="DK22" s="646">
        <f>DJ22*$DK$28</f>
        <v>9.0749671202458</v>
      </c>
      <c r="DL22" s="657">
        <f>VLOOKUP(DH22,$J$4:$Q$27,$DL$33,FALSE)</f>
        <v>3.1247801726932781E-5</v>
      </c>
      <c r="DM22" s="646">
        <f>DL22*$DM$28</f>
        <v>76.498852996714007</v>
      </c>
      <c r="DN22" s="657">
        <f>VLOOKUP(DH22,$J$4:$Q$27,$DN$33,FALSE)</f>
        <v>6.3458674081676518E-7</v>
      </c>
      <c r="DO22" s="646">
        <f>DN22*$DO$28</f>
        <v>2.2520620479688378</v>
      </c>
      <c r="DP22" s="646">
        <f>DK22+DM22+DO22</f>
        <v>87.825882164928643</v>
      </c>
      <c r="DQ22" s="657">
        <f>DP22/$DP$28</f>
        <v>1.3779431302620149E-5</v>
      </c>
      <c r="DR22" s="709">
        <f>IF($AT22=0,0,ROUND(IF(VLOOKUP(DH22,$AQ$4:$AT$27,$AZ$30,FALSE)&lt;&gt;0,DP22/VLOOKUP(DH22,$AQ$4:$AT$27,$AZ$30,FALSE)*100,""),6))</f>
        <v>6.3006849999999996</v>
      </c>
      <c r="DV22" s="545">
        <f>+DV21+1</f>
        <v>19</v>
      </c>
      <c r="DW22" s="739">
        <f>GG22</f>
        <v>19</v>
      </c>
      <c r="DX22" s="655" t="s">
        <v>408</v>
      </c>
      <c r="DY22" s="657">
        <f>VLOOKUP(DW22,$J$4:$Q$27,$DY$33,FALSE)</f>
        <v>3.1247801726932781E-5</v>
      </c>
      <c r="DZ22" s="646">
        <f>DY22*$DZ$28</f>
        <v>126.11635996825369</v>
      </c>
      <c r="EA22" s="709">
        <f>IF($AT22=0,0,ROUND(IF(VLOOKUP(DW22,$AQ$4:$AT$27,$AZ$30,FALSE)&lt;&gt;0,DZ22/VLOOKUP(DW22,$AQ$4:$AT$27,$AZ$30,FALSE)*100,""),6))</f>
        <v>9.0476679999999998</v>
      </c>
      <c r="EM22" s="545">
        <f>+EM21+1</f>
        <v>19</v>
      </c>
      <c r="EN22" s="739">
        <f>FR22</f>
        <v>19</v>
      </c>
      <c r="EO22" s="655" t="s">
        <v>408</v>
      </c>
      <c r="EP22" s="657">
        <f>VLOOKUP(EN22,$V$4:$Y$27,$EP$33,FALSE)</f>
        <v>2.287607733618493E-5</v>
      </c>
      <c r="EQ22" s="646">
        <f>EP22*$EQ$28</f>
        <v>180.00653473659139</v>
      </c>
      <c r="ER22" s="657">
        <f>VLOOKUP(EN22,$CI$4:$CP$27,$ER$33,FALSE)</f>
        <v>2.4091037880973833E-5</v>
      </c>
      <c r="ES22" s="646">
        <f>ER22*$ES$28</f>
        <v>24.46989555848247</v>
      </c>
      <c r="ET22" s="657">
        <f>VLOOKUP(EN22,$J$4:$M$27,$ET$33,FALSE)</f>
        <v>6.3458674081676518E-7</v>
      </c>
      <c r="EU22" s="646">
        <f>ET22*$EU$28</f>
        <v>2.7285874015484484</v>
      </c>
      <c r="EV22" s="646">
        <f>EQ22+ES22+EU22</f>
        <v>207.20501769662232</v>
      </c>
      <c r="EW22" s="657">
        <f>EV22/$EV$28</f>
        <v>1.5716066274045476E-5</v>
      </c>
      <c r="EX22" s="709">
        <f>IF($AT22=0,0,ROUND(IF(VLOOKUP(EN22,$AQ$4:$AT$27,$AZ$30,FALSE)&lt;&gt;0,EV22/VLOOKUP(EN22,$AQ$4:$AT$27,$AZ$30,FALSE)*100,""),6))</f>
        <v>14.865019999999999</v>
      </c>
      <c r="FH22" s="545">
        <f>+FH21+1</f>
        <v>19</v>
      </c>
      <c r="FI22" s="669">
        <f>FR22</f>
        <v>19</v>
      </c>
      <c r="FJ22" s="655" t="s">
        <v>408</v>
      </c>
      <c r="FK22" s="657">
        <f>Y22</f>
        <v>2.287607733618493E-5</v>
      </c>
      <c r="FL22" s="646">
        <f>Y22*$FL$28</f>
        <v>451.54647004087275</v>
      </c>
      <c r="FM22" s="709">
        <f>IF($AT22=0,0,ROUND(IF(VLOOKUP(FI22,$AQ$4:$AT$27,$AZ$30,FALSE)&lt;&gt;0,FL22/VLOOKUP(FI22,$AQ$4:$AT$27,$AZ$30,FALSE)*100,""),6))</f>
        <v>32.394230999999998</v>
      </c>
      <c r="FQ22" s="543">
        <v>19</v>
      </c>
      <c r="FR22" s="669">
        <v>19</v>
      </c>
      <c r="FS22" s="655" t="s">
        <v>408</v>
      </c>
      <c r="FT22" s="646">
        <f>VLOOKUP(FR22,$AQ$4:$AZ$27,$FT$33,FALSE)</f>
        <v>1131.933430089814</v>
      </c>
      <c r="FU22" s="646">
        <f>VLOOKUP(FR22,$BL$4:$BS$86,$FU$33,FALSE)</f>
        <v>263.76557734770796</v>
      </c>
      <c r="FV22" s="646">
        <f>VLOOKUP(FR22,$CI$4:$CQ$27,$FV$33,FALSE)</f>
        <v>604.0518595326688</v>
      </c>
      <c r="FW22" s="646">
        <f>VLOOKUP(FR22,$DH$4:$DP$27,$FW$33,FALSE)</f>
        <v>87.825882164928643</v>
      </c>
      <c r="FX22" s="646">
        <f>VLOOKUP(FR22,$DW$4:$EA$27,$FX$33,FALSE)</f>
        <v>126.11635996825369</v>
      </c>
      <c r="FY22" s="646">
        <f>VLOOKUP(FR22,$EN$4:$EV$28,$FY$34,FALSE)</f>
        <v>207.20501769662232</v>
      </c>
      <c r="FZ22" s="646">
        <f>VLOOKUP(FR22,$FI$4:$FL$27,$FZ$33,FALSE)</f>
        <v>451.54647004087275</v>
      </c>
      <c r="GA22" s="646">
        <f>SUM(FT22:FZ22)</f>
        <v>2872.4445968408681</v>
      </c>
      <c r="GB22" s="746">
        <f>IF($AT22=0,0,ROUND(IF(VLOOKUP(FR22,$AQ$4:$AT$27,$AZ$30,FALSE)&lt;&gt;0,GA22/VLOOKUP(FR22,$AQ$4:$AT$27,$AZ$30,FALSE)*100,""),6))</f>
        <v>206.071</v>
      </c>
      <c r="GF22" s="545">
        <f>+GF21+1</f>
        <v>19</v>
      </c>
      <c r="GG22" s="669">
        <f>FR22</f>
        <v>19</v>
      </c>
      <c r="GH22" s="655" t="s">
        <v>408</v>
      </c>
      <c r="GI22" s="709">
        <f>VLOOKUP(GG22,$AQ$4:$AZ$27,$GI$31,FALSE)</f>
        <v>81.205623000000003</v>
      </c>
      <c r="GJ22" s="709">
        <f>VLOOKUP(GG22,$BL$4:$BS$27,$GJ$31,FALSE)</f>
        <v>18.922709999999999</v>
      </c>
      <c r="GK22" s="709">
        <f>VLOOKUP(GG22,$CI$4:$CQ$27,$GK$31,FALSE)</f>
        <v>43.335064000000003</v>
      </c>
      <c r="GL22" s="709">
        <f>VLOOKUP(GG22,$DH$4:$DR$27,$GL$31,FALSE)</f>
        <v>6.3006849999999996</v>
      </c>
      <c r="GM22" s="709">
        <f>VLOOKUP(GG22,$DW$4:$EA$27,$GM$31,FALSE)</f>
        <v>9.0476679999999998</v>
      </c>
      <c r="GN22" s="709">
        <f>VLOOKUP(GG22,$EN$4:$EX$28,$GN$31,FALSE)</f>
        <v>14.865019999999999</v>
      </c>
      <c r="GO22" s="709">
        <f>VLOOKUP(GG22,$FI$4:$FM$27,$GO$31,FALSE)</f>
        <v>32.394230999999998</v>
      </c>
      <c r="GP22" s="709">
        <f>VLOOKUP(GG22,$FR$4:$GB$27,$GP$31,FALSE)</f>
        <v>206.071</v>
      </c>
      <c r="GQ22" s="656">
        <f>L22</f>
        <v>1393.9101570990044</v>
      </c>
      <c r="GR22" s="530"/>
      <c r="GU22" s="543">
        <f>+GU21+1</f>
        <v>19</v>
      </c>
      <c r="GV22" s="669">
        <f>FR22</f>
        <v>19</v>
      </c>
      <c r="GW22" s="655" t="s">
        <v>408</v>
      </c>
      <c r="GX22" s="658" t="s">
        <v>379</v>
      </c>
      <c r="GY22" s="646">
        <f>GA22</f>
        <v>2872.4445968408681</v>
      </c>
      <c r="GZ22" s="656">
        <f>VLOOKUP(GV22,$GG$4:$GQ$27,$GZ$34,FALSE)</f>
        <v>1393.9101570990044</v>
      </c>
      <c r="HA22" s="709">
        <f>IF(GW22="Specialty Containers",$HA$31,ROUND(IF(GZ22&lt;&gt;0,GY22/GZ22*100,0),6))</f>
        <v>206.071</v>
      </c>
      <c r="HB22" s="646">
        <f>ROUND(HA22,10)*GZ22/100</f>
        <v>2872.4445998354895</v>
      </c>
      <c r="HC22" s="749">
        <f>HB22-GY22</f>
        <v>2.9946213544462807E-6</v>
      </c>
      <c r="HD22" s="549"/>
      <c r="HG22" s="549"/>
      <c r="HH22" s="549"/>
      <c r="HI22" s="549"/>
      <c r="HJ22" s="549"/>
      <c r="HK22" s="549"/>
      <c r="HL22" s="549"/>
      <c r="HM22" s="549"/>
      <c r="HP22" s="545">
        <f>+HP21+1</f>
        <v>19</v>
      </c>
      <c r="HQ22" s="761">
        <f>FR22</f>
        <v>19</v>
      </c>
      <c r="HR22" s="655" t="s">
        <v>408</v>
      </c>
      <c r="HS22" s="656">
        <f>L22</f>
        <v>1393.9101570990044</v>
      </c>
      <c r="HT22" s="756">
        <f>HA22</f>
        <v>206.071</v>
      </c>
      <c r="HU22" s="756">
        <v>233.030067</v>
      </c>
      <c r="HV22" s="647">
        <f>IF(HU22&lt;&gt;0,HT22/HU22-1,"")</f>
        <v>-0.11568922133983683</v>
      </c>
      <c r="HW22" s="756">
        <f>HT22-HU22</f>
        <v>-26.959067000000005</v>
      </c>
      <c r="HX22" s="648">
        <v>10</v>
      </c>
      <c r="IO22" s="545">
        <v>19</v>
      </c>
      <c r="IP22" s="761">
        <v>19</v>
      </c>
      <c r="IQ22" s="655" t="s">
        <v>408</v>
      </c>
      <c r="IR22" s="769">
        <f>GY22</f>
        <v>2872.4445968408681</v>
      </c>
      <c r="IS22" s="770">
        <f>GZ22</f>
        <v>1393.9101570990044</v>
      </c>
      <c r="IT22" s="771">
        <f>HA22</f>
        <v>206.071</v>
      </c>
      <c r="IU22" s="656">
        <f>IS22*$IJ$4/(1-$IK$4)</f>
        <v>203.74906120680822</v>
      </c>
      <c r="IV22" s="656">
        <f>IS22-IU22</f>
        <v>1190.1610958921963</v>
      </c>
      <c r="IW22" s="769">
        <f>IU22*$IH$4</f>
        <v>3.0562359181021233</v>
      </c>
      <c r="IX22" s="769">
        <f>IR22-IW22</f>
        <v>2869.388360922766</v>
      </c>
      <c r="IY22" s="550">
        <f>IX22/IS22*100</f>
        <v>205.85174347925806</v>
      </c>
      <c r="IZ22" s="550">
        <f>IY22+1.5</f>
        <v>207.35174347925806</v>
      </c>
      <c r="JA22" s="769">
        <f>(IY22*IV22+IZ22*IU22)/100</f>
        <v>2872.4445968408677</v>
      </c>
      <c r="JB22" s="746">
        <f>IT22-IY22</f>
        <v>0.21925652074193636</v>
      </c>
      <c r="JF22" s="545">
        <f>+JF21+1</f>
        <v>19</v>
      </c>
      <c r="JG22" s="761">
        <f>FR22</f>
        <v>19</v>
      </c>
      <c r="JH22" s="655" t="s">
        <v>408</v>
      </c>
      <c r="JI22" s="656">
        <f>L22</f>
        <v>1393.9101570990044</v>
      </c>
      <c r="JJ22" s="756">
        <f>IY22</f>
        <v>205.85174347925806</v>
      </c>
      <c r="JK22" s="756">
        <v>232.80783427268813</v>
      </c>
      <c r="JL22" s="647">
        <f>IF(JK22&lt;&gt;0,JJ22/JK22-1,"")</f>
        <v>-0.11578687150990097</v>
      </c>
      <c r="JM22" s="756">
        <f>JJ22-JK22</f>
        <v>-26.956090793430064</v>
      </c>
      <c r="JN22" s="648">
        <v>10</v>
      </c>
      <c r="JS22" s="756">
        <v>206.41586917383711</v>
      </c>
      <c r="JT22" s="756">
        <f>JJ22-JS22</f>
        <v>-0.56412569457904738</v>
      </c>
      <c r="JU22" s="1009">
        <v>1476</v>
      </c>
      <c r="JV22" s="1009">
        <f>JU22-JI22</f>
        <v>82.089842900995563</v>
      </c>
      <c r="JW22" s="1069">
        <f>JT22/JS22</f>
        <v>-2.7329570000451759E-3</v>
      </c>
      <c r="JX22" s="997">
        <v>3046.6982290058354</v>
      </c>
      <c r="JY22" s="997">
        <f>JI22*JJ22/100</f>
        <v>2869.3883609227655</v>
      </c>
      <c r="JZ22" s="516"/>
      <c r="KA22" s="516"/>
      <c r="KB22" s="516"/>
      <c r="KC22" s="516"/>
      <c r="KE22" s="516"/>
      <c r="KF22" s="516"/>
    </row>
    <row r="23" spans="2:292" ht="16.5" x14ac:dyDescent="0.3">
      <c r="I23" s="222">
        <v>20</v>
      </c>
      <c r="J23" s="659">
        <f>FR23</f>
        <v>20</v>
      </c>
      <c r="K23" s="660" t="s">
        <v>409</v>
      </c>
      <c r="L23" s="991"/>
      <c r="M23" s="662">
        <f>L23/$L$28</f>
        <v>0</v>
      </c>
      <c r="N23" s="661">
        <v>798</v>
      </c>
      <c r="O23" s="661">
        <f>IFERROR(L23/N23,0)</f>
        <v>0</v>
      </c>
      <c r="P23" s="662">
        <f>O23/$O$28</f>
        <v>0</v>
      </c>
      <c r="Q23" s="663" t="s">
        <v>384</v>
      </c>
      <c r="U23" s="551">
        <f>+U22+1</f>
        <v>20</v>
      </c>
      <c r="V23" s="670">
        <f>FR23</f>
        <v>20</v>
      </c>
      <c r="W23" s="660" t="s">
        <v>409</v>
      </c>
      <c r="X23" s="671">
        <f>SUM(FT23:FX23)</f>
        <v>0</v>
      </c>
      <c r="Y23" s="662">
        <f>SUM(FT23:FX23)/SUM($FT$28:$FX$28)</f>
        <v>0</v>
      </c>
      <c r="AC23" s="551">
        <f>+AC22+1</f>
        <v>20</v>
      </c>
      <c r="AD23" s="681">
        <v>20</v>
      </c>
      <c r="AE23" s="682" t="s">
        <v>409</v>
      </c>
      <c r="AF23" s="683">
        <v>4.6900000000000004</v>
      </c>
      <c r="AP23" s="551">
        <f>+AP22+1</f>
        <v>20</v>
      </c>
      <c r="AQ23" s="697">
        <f>FR23</f>
        <v>20</v>
      </c>
      <c r="AR23" s="660" t="s">
        <v>409</v>
      </c>
      <c r="AS23" s="660">
        <f>VLOOKUP(AQ23,$AD$4:$AF$27,$AS$30,FALSE)</f>
        <v>4.6900000000000004</v>
      </c>
      <c r="AT23" s="698">
        <f>L23</f>
        <v>0</v>
      </c>
      <c r="AU23" s="698">
        <f>AT23*AS23/3600</f>
        <v>0</v>
      </c>
      <c r="AV23" s="699">
        <f>AU23*$AL$5/$AU$28</f>
        <v>0</v>
      </c>
      <c r="AW23" s="700">
        <f>$AL$6</f>
        <v>21.592508896755888</v>
      </c>
      <c r="AX23" s="671">
        <f>AV23*AW23</f>
        <v>0</v>
      </c>
      <c r="AY23" s="465">
        <f>AX23/$AX$28</f>
        <v>0</v>
      </c>
      <c r="AZ23" s="553">
        <f>IF($AT23=0,0,ROUND(IF(VLOOKUP(AQ23,$AQ$4:$AT$27,$AZ$30,FALSE)&lt;&gt;0,AX23/VLOOKUP(AQ23,$AQ$4:$AT$27,$AZ$30,FALSE)*100,""),6))</f>
        <v>0</v>
      </c>
      <c r="BK23" s="222">
        <f>+BK22+1</f>
        <v>20</v>
      </c>
      <c r="BL23" s="663">
        <f>FR23</f>
        <v>20</v>
      </c>
      <c r="BM23" s="660" t="s">
        <v>409</v>
      </c>
      <c r="BN23" s="662">
        <f>VLOOKUP(BL23,$AQ$4:$AY$28,$BN$33,FALSE)</f>
        <v>0</v>
      </c>
      <c r="BO23" s="671">
        <f>BN23*$BO$28</f>
        <v>0</v>
      </c>
      <c r="BP23" s="662">
        <f>VLOOKUP(BL23,$J$4:$M$27,$BP$33,FALSE)</f>
        <v>0</v>
      </c>
      <c r="BQ23" s="671">
        <f>BP23*$BQ$28</f>
        <v>0</v>
      </c>
      <c r="BR23" s="710">
        <f>BQ23+BO23</f>
        <v>0</v>
      </c>
      <c r="BS23" s="711">
        <f>IF($AT23=0,0,ROUND(IF(VLOOKUP(BL23,$AQ$4:$AT$27,$AZ$30,FALSE)&lt;&gt;0,BR23/VLOOKUP(BL23,$AQ$4:$AT$27,$AZ$30,FALSE)*100,""),6))</f>
        <v>0</v>
      </c>
      <c r="BV23" s="15"/>
      <c r="BW23" s="190"/>
      <c r="BX23" s="190"/>
      <c r="BY23" s="190"/>
      <c r="BZ23" s="190"/>
      <c r="CA23" s="190"/>
      <c r="CB23" s="190"/>
      <c r="CC23" s="190"/>
      <c r="CD23" s="190"/>
      <c r="CH23" s="222">
        <f>+CH22+1</f>
        <v>20</v>
      </c>
      <c r="CI23" s="681">
        <f>FR23</f>
        <v>20</v>
      </c>
      <c r="CJ23" s="660" t="s">
        <v>409</v>
      </c>
      <c r="CK23" s="723">
        <f>VLOOKUP(CI23,$J$4:$M$27,$CK$32,FALSE)</f>
        <v>0</v>
      </c>
      <c r="CL23" s="650">
        <f>CK23*$CL$28</f>
        <v>0</v>
      </c>
      <c r="CM23" s="723">
        <f>VLOOKUP(CI23,$J$4:$P$27,$CM$32,FALSE)</f>
        <v>0</v>
      </c>
      <c r="CN23" s="650">
        <f>CM23*$CN$28</f>
        <v>0</v>
      </c>
      <c r="CO23" s="650">
        <f>CN23+CL23</f>
        <v>0</v>
      </c>
      <c r="CP23" s="723">
        <f>CO23/$CO$28</f>
        <v>0</v>
      </c>
      <c r="CQ23" s="724">
        <f>IF($AT23=0,0,ROUND(IF(VLOOKUP(CI23,$AQ$4:$AT$27,$AZ$30,FALSE)&lt;&gt;0,CO23/VLOOKUP(CI23,$AQ$4:$AT$27,$AZ$30,FALSE)*100,""),6))</f>
        <v>0</v>
      </c>
      <c r="DD23" s="15"/>
      <c r="DG23" s="551">
        <f>+DG22+1</f>
        <v>20</v>
      </c>
      <c r="DH23" s="677">
        <f>FR23</f>
        <v>20</v>
      </c>
      <c r="DI23" s="660" t="s">
        <v>409</v>
      </c>
      <c r="DJ23" s="723">
        <f>VLOOKUP(DH23,$CI$4:$CP$27,$DJ$33,FALSE)</f>
        <v>0</v>
      </c>
      <c r="DK23" s="650">
        <f>DJ23*$DK$28</f>
        <v>0</v>
      </c>
      <c r="DL23" s="723">
        <f>VLOOKUP(DH23,$J$4:$Q$27,$DL$33,FALSE)</f>
        <v>0</v>
      </c>
      <c r="DM23" s="650">
        <f>DL23*$DM$28</f>
        <v>0</v>
      </c>
      <c r="DN23" s="723">
        <f>VLOOKUP(DH23,$J$4:$Q$27,$DN$33,FALSE)</f>
        <v>0</v>
      </c>
      <c r="DO23" s="650">
        <f>DN23*$DO$28</f>
        <v>0</v>
      </c>
      <c r="DP23" s="650">
        <f>DK23+DM23+DO23</f>
        <v>0</v>
      </c>
      <c r="DQ23" s="723">
        <f>DP23/$DP$28</f>
        <v>0</v>
      </c>
      <c r="DR23" s="724">
        <f>IF($AT23=0,0,ROUND(IF(VLOOKUP(DH23,$AQ$4:$AT$27,$AZ$30,FALSE)&lt;&gt;0,DP23/VLOOKUP(DH23,$AQ$4:$AT$27,$AZ$30,FALSE)*100,""),6))</f>
        <v>0</v>
      </c>
      <c r="DV23" s="551">
        <f>+DV22+1</f>
        <v>20</v>
      </c>
      <c r="DW23" s="677">
        <f>GG23</f>
        <v>20</v>
      </c>
      <c r="DX23" s="660" t="s">
        <v>409</v>
      </c>
      <c r="DY23" s="723">
        <f>VLOOKUP(DW23,$J$4:$Q$27,$DY$33,FALSE)</f>
        <v>0</v>
      </c>
      <c r="DZ23" s="650">
        <f>DY23*$DZ$28</f>
        <v>0</v>
      </c>
      <c r="EA23" s="724">
        <f>IF($AT23=0,0,ROUND(IF(VLOOKUP(DW23,$AQ$4:$AT$27,$AZ$30,FALSE)&lt;&gt;0,DZ23/VLOOKUP(DW23,$AQ$4:$AT$27,$AZ$30,FALSE)*100,""),6))</f>
        <v>0</v>
      </c>
      <c r="EM23" s="551">
        <f>+EM22+1</f>
        <v>20</v>
      </c>
      <c r="EN23" s="677">
        <f>FR23</f>
        <v>20</v>
      </c>
      <c r="EO23" s="660" t="s">
        <v>409</v>
      </c>
      <c r="EP23" s="723">
        <f>VLOOKUP(EN23,$V$4:$Y$27,$EP$33,FALSE)</f>
        <v>0</v>
      </c>
      <c r="EQ23" s="650">
        <f>EP23*$EQ$28</f>
        <v>0</v>
      </c>
      <c r="ER23" s="723">
        <f>VLOOKUP(EN23,$CI$4:$CP$27,$ER$33,FALSE)</f>
        <v>0</v>
      </c>
      <c r="ES23" s="650">
        <f>ER23*$ES$28</f>
        <v>0</v>
      </c>
      <c r="ET23" s="723">
        <f>VLOOKUP(EN23,$J$4:$M$27,$ET$33,FALSE)</f>
        <v>0</v>
      </c>
      <c r="EU23" s="650">
        <f>ET23*$EU$28</f>
        <v>0</v>
      </c>
      <c r="EV23" s="650">
        <f>EQ23+ES23+EU23</f>
        <v>0</v>
      </c>
      <c r="EW23" s="723">
        <f>EV23/$EV$28</f>
        <v>0</v>
      </c>
      <c r="EX23" s="724">
        <f>IF($AT23=0,0,ROUND(IF(VLOOKUP(EN23,$AQ$4:$AT$27,$AZ$30,FALSE)&lt;&gt;0,EV23/VLOOKUP(EN23,$AQ$4:$AT$27,$AZ$30,FALSE)*100,""),6))</f>
        <v>0</v>
      </c>
      <c r="FH23" s="551">
        <f>+FH22+1</f>
        <v>20</v>
      </c>
      <c r="FI23" s="670">
        <f>FR23</f>
        <v>20</v>
      </c>
      <c r="FJ23" s="660" t="s">
        <v>409</v>
      </c>
      <c r="FK23" s="723">
        <f>Y23</f>
        <v>0</v>
      </c>
      <c r="FL23" s="650">
        <f>Y23*$FL$28</f>
        <v>0</v>
      </c>
      <c r="FM23" s="724">
        <f>IF($AT23=0,0,ROUND(IF(VLOOKUP(FI23,$AQ$4:$AT$27,$AZ$30,FALSE)&lt;&gt;0,FL23/VLOOKUP(FI23,$AQ$4:$AT$27,$AZ$30,FALSE)*100,""),6))</f>
        <v>0</v>
      </c>
      <c r="FQ23" s="222">
        <v>20</v>
      </c>
      <c r="FR23" s="670">
        <v>20</v>
      </c>
      <c r="FS23" s="660" t="s">
        <v>409</v>
      </c>
      <c r="FT23" s="650">
        <f>VLOOKUP(FR23,$AQ$4:$AZ$27,$FT$33,FALSE)</f>
        <v>0</v>
      </c>
      <c r="FU23" s="650">
        <f>VLOOKUP(FR23,$BL$4:$BS$86,$FU$33,FALSE)</f>
        <v>0</v>
      </c>
      <c r="FV23" s="650">
        <f>VLOOKUP(FR23,$CI$4:$CQ$27,$FV$33,FALSE)</f>
        <v>0</v>
      </c>
      <c r="FW23" s="650">
        <f>VLOOKUP(FR23,$DH$4:$DP$27,$FW$33,FALSE)</f>
        <v>0</v>
      </c>
      <c r="FX23" s="650">
        <f>VLOOKUP(FR23,$DW$4:$EA$27,$FX$33,FALSE)</f>
        <v>0</v>
      </c>
      <c r="FY23" s="650">
        <f>VLOOKUP(FR23,$EN$4:$EV$28,$FY$34,FALSE)</f>
        <v>0</v>
      </c>
      <c r="FZ23" s="650">
        <f>VLOOKUP(FR23,$FI$4:$FL$27,$FZ$33,FALSE)</f>
        <v>0</v>
      </c>
      <c r="GA23" s="650">
        <f>SUM(FT23:FZ23)</f>
        <v>0</v>
      </c>
      <c r="GB23" s="747">
        <f>IF($AT23=0,0,ROUND(IF(VLOOKUP(FR23,$AQ$4:$AT$27,$AZ$30,FALSE)&lt;&gt;0,GA23/VLOOKUP(FR23,$AQ$4:$AT$27,$AZ$30,FALSE)*100,""),6))</f>
        <v>0</v>
      </c>
      <c r="GF23" s="551">
        <f>+GF22+1</f>
        <v>20</v>
      </c>
      <c r="GG23" s="670">
        <f>FR23</f>
        <v>20</v>
      </c>
      <c r="GH23" s="660" t="s">
        <v>409</v>
      </c>
      <c r="GI23" s="724">
        <f>VLOOKUP(GG23,$AQ$4:$AZ$27,$GI$31,FALSE)</f>
        <v>0</v>
      </c>
      <c r="GJ23" s="724">
        <f>VLOOKUP(GG23,$BL$4:$BS$27,$GJ$31,FALSE)</f>
        <v>0</v>
      </c>
      <c r="GK23" s="724">
        <f>VLOOKUP(GG23,$CI$4:$CQ$27,$GK$31,FALSE)</f>
        <v>0</v>
      </c>
      <c r="GL23" s="724">
        <f>VLOOKUP(GG23,$DH$4:$DR$27,$GL$31,FALSE)</f>
        <v>0</v>
      </c>
      <c r="GM23" s="724">
        <f>VLOOKUP(GG23,$DW$4:$EA$27,$GM$31,FALSE)</f>
        <v>0</v>
      </c>
      <c r="GN23" s="724">
        <f>VLOOKUP(GG23,$EN$4:$EX$28,$GN$31,FALSE)</f>
        <v>0</v>
      </c>
      <c r="GO23" s="724">
        <f>VLOOKUP(GG23,$FI$4:$FM$27,$GO$31,FALSE)</f>
        <v>0</v>
      </c>
      <c r="GP23" s="724">
        <f>VLOOKUP(GG23,$FR$4:$GB$27,$GP$31,FALSE)</f>
        <v>0</v>
      </c>
      <c r="GQ23" s="661">
        <f>L23</f>
        <v>0</v>
      </c>
      <c r="GR23" s="530"/>
      <c r="GU23" s="222">
        <f>+GU22+1</f>
        <v>20</v>
      </c>
      <c r="GV23" s="670">
        <f>FR23</f>
        <v>20</v>
      </c>
      <c r="GW23" s="660" t="s">
        <v>409</v>
      </c>
      <c r="GX23" s="663" t="s">
        <v>384</v>
      </c>
      <c r="GY23" s="671">
        <f>GA23</f>
        <v>0</v>
      </c>
      <c r="GZ23" s="661">
        <f>VLOOKUP(GV23,$GG$4:$GQ$27,$GZ$34,FALSE)</f>
        <v>0</v>
      </c>
      <c r="HA23" s="724">
        <f>IF(GW23="Specialty Containers",$HA$31,ROUND(IF(GZ23&lt;&gt;0,GY23/GZ23*100,0),6))</f>
        <v>0</v>
      </c>
      <c r="HB23" s="650">
        <f>ROUND(HA23,10)*GZ23/100</f>
        <v>0</v>
      </c>
      <c r="HC23" s="750">
        <f>HB23-GY23</f>
        <v>0</v>
      </c>
      <c r="HD23" s="549"/>
      <c r="HG23" s="549"/>
      <c r="HH23" s="549"/>
      <c r="HI23" s="549"/>
      <c r="HJ23" s="549"/>
      <c r="HK23" s="549"/>
      <c r="HL23" s="549"/>
      <c r="HM23" s="549"/>
      <c r="HP23" s="551">
        <f>+HP22+1</f>
        <v>20</v>
      </c>
      <c r="HQ23" s="762">
        <f>FR23</f>
        <v>20</v>
      </c>
      <c r="HR23" s="660" t="s">
        <v>409</v>
      </c>
      <c r="HS23" s="661">
        <f>L23</f>
        <v>0</v>
      </c>
      <c r="HT23" s="757">
        <f>HA23</f>
        <v>0</v>
      </c>
      <c r="HU23" s="757">
        <v>7.2849089999999999</v>
      </c>
      <c r="HV23" s="651">
        <f>IF(HU23&lt;&gt;0,HT23/HU23-1,"")</f>
        <v>-1</v>
      </c>
      <c r="HW23" s="757">
        <f>HT23-HU23</f>
        <v>-7.2849089999999999</v>
      </c>
      <c r="HX23" s="652">
        <v>10</v>
      </c>
      <c r="IO23" s="551">
        <v>20</v>
      </c>
      <c r="IP23" s="762">
        <v>20</v>
      </c>
      <c r="IQ23" s="660" t="s">
        <v>409</v>
      </c>
      <c r="IR23" s="772">
        <f>GY23</f>
        <v>0</v>
      </c>
      <c r="IS23" s="773">
        <f>GZ23</f>
        <v>0</v>
      </c>
      <c r="IT23" s="774">
        <f>HA23</f>
        <v>0</v>
      </c>
      <c r="IU23" s="991">
        <v>0</v>
      </c>
      <c r="IV23" s="661">
        <f>IS23-IU23</f>
        <v>0</v>
      </c>
      <c r="IW23" s="772">
        <f>IU23*$IH$4</f>
        <v>0</v>
      </c>
      <c r="IX23" s="772">
        <f>IR23-IW23</f>
        <v>0</v>
      </c>
      <c r="IY23" s="455">
        <f>IT23</f>
        <v>0</v>
      </c>
      <c r="IZ23" s="555">
        <f>IY23</f>
        <v>0</v>
      </c>
      <c r="JA23" s="772">
        <f>(IY23*IV23+IZ23*IU23)/100</f>
        <v>0</v>
      </c>
      <c r="JB23" s="778">
        <f>IT23-IY23</f>
        <v>0</v>
      </c>
      <c r="JF23" s="551">
        <f>+JF22+1</f>
        <v>20</v>
      </c>
      <c r="JG23" s="762">
        <f>FR23</f>
        <v>20</v>
      </c>
      <c r="JH23" s="660" t="s">
        <v>409</v>
      </c>
      <c r="JI23" s="661">
        <f>L23</f>
        <v>0</v>
      </c>
      <c r="JJ23" s="757">
        <f>IY23</f>
        <v>0</v>
      </c>
      <c r="JK23" s="757">
        <v>7.2849089999999999</v>
      </c>
      <c r="JL23" s="651">
        <f>IF(JK23&lt;&gt;0,JJ23/JK23-1,"")</f>
        <v>-1</v>
      </c>
      <c r="JM23" s="757">
        <f>JJ23-JK23</f>
        <v>-7.2849089999999999</v>
      </c>
      <c r="JN23" s="652">
        <v>10</v>
      </c>
      <c r="JS23" s="757">
        <v>0</v>
      </c>
      <c r="JT23" s="757">
        <f>JJ23-JS23</f>
        <v>0</v>
      </c>
      <c r="JU23" s="1010">
        <v>0</v>
      </c>
      <c r="JV23" s="1010">
        <f>JU23-JI23</f>
        <v>0</v>
      </c>
      <c r="JW23" s="1069"/>
      <c r="JX23" s="997">
        <v>0</v>
      </c>
      <c r="JY23" s="997">
        <f>JI23*JJ23/100</f>
        <v>0</v>
      </c>
      <c r="JZ23" s="516"/>
      <c r="KA23" s="516"/>
      <c r="KB23" s="516"/>
      <c r="KC23" s="516"/>
      <c r="KE23" s="516"/>
      <c r="KF23" s="516"/>
    </row>
    <row r="24" spans="2:292" ht="16.5" x14ac:dyDescent="0.3">
      <c r="I24" s="543">
        <v>21</v>
      </c>
      <c r="J24" s="654">
        <f>FR24</f>
        <v>21</v>
      </c>
      <c r="K24" s="655" t="s">
        <v>410</v>
      </c>
      <c r="L24" s="991"/>
      <c r="M24" s="657">
        <f>L24/$L$28</f>
        <v>0</v>
      </c>
      <c r="N24" s="656">
        <v>546</v>
      </c>
      <c r="O24" s="656">
        <f>IFERROR(L24/N24,0)</f>
        <v>0</v>
      </c>
      <c r="P24" s="657">
        <f>O24/$O$28</f>
        <v>0</v>
      </c>
      <c r="Q24" s="658" t="s">
        <v>384</v>
      </c>
      <c r="U24" s="545">
        <f>+U23+1</f>
        <v>21</v>
      </c>
      <c r="V24" s="669">
        <f>FR24</f>
        <v>21</v>
      </c>
      <c r="W24" s="655" t="s">
        <v>410</v>
      </c>
      <c r="X24" s="646">
        <f>SUM(FT24:FX24)</f>
        <v>0</v>
      </c>
      <c r="Y24" s="657">
        <f>SUM(FT24:FX24)/SUM($FT$28:$FX$28)</f>
        <v>0</v>
      </c>
      <c r="AC24" s="545">
        <f>+AC23+1</f>
        <v>21</v>
      </c>
      <c r="AD24" s="678">
        <v>21</v>
      </c>
      <c r="AE24" s="679" t="s">
        <v>410</v>
      </c>
      <c r="AF24" s="680">
        <v>5.0999999999999996</v>
      </c>
      <c r="AP24" s="545">
        <f>+AP23+1</f>
        <v>21</v>
      </c>
      <c r="AQ24" s="693">
        <f>FR24</f>
        <v>21</v>
      </c>
      <c r="AR24" s="655" t="s">
        <v>410</v>
      </c>
      <c r="AS24" s="655">
        <f>VLOOKUP(AQ24,$AD$4:$AF$27,$AS$30,FALSE)</f>
        <v>5.0999999999999996</v>
      </c>
      <c r="AT24" s="694">
        <f>L24</f>
        <v>0</v>
      </c>
      <c r="AU24" s="694">
        <f>AT24*AS24/3600</f>
        <v>0</v>
      </c>
      <c r="AV24" s="695">
        <f>AU24*$AL$5/$AU$28</f>
        <v>0</v>
      </c>
      <c r="AW24" s="696">
        <f>$AL$6</f>
        <v>21.592508896755888</v>
      </c>
      <c r="AX24" s="646">
        <f>AV24*AW24</f>
        <v>0</v>
      </c>
      <c r="AY24" s="544">
        <f>AX24/$AX$28</f>
        <v>0</v>
      </c>
      <c r="AZ24" s="548">
        <f>IF($AT24=0,0,ROUND(IF(VLOOKUP(AQ24,$AQ$4:$AT$27,$AZ$30,FALSE)&lt;&gt;0,AX24/VLOOKUP(AQ24,$AQ$4:$AT$27,$AZ$30,FALSE)*100,""),6))</f>
        <v>0</v>
      </c>
      <c r="BK24" s="543">
        <f>+BK23+1</f>
        <v>21</v>
      </c>
      <c r="BL24" s="658">
        <f>FR24</f>
        <v>21</v>
      </c>
      <c r="BM24" s="655" t="s">
        <v>410</v>
      </c>
      <c r="BN24" s="657">
        <f>VLOOKUP(BL24,$AQ$4:$AY$28,$BN$33,FALSE)</f>
        <v>0</v>
      </c>
      <c r="BO24" s="646">
        <f>BN24*$BO$28</f>
        <v>0</v>
      </c>
      <c r="BP24" s="657">
        <f>VLOOKUP(BL24,$J$4:$M$27,$BP$33,FALSE)</f>
        <v>0</v>
      </c>
      <c r="BQ24" s="646">
        <f>BP24*$BQ$28</f>
        <v>0</v>
      </c>
      <c r="BR24" s="708">
        <f>BQ24+BO24</f>
        <v>0</v>
      </c>
      <c r="BS24" s="709">
        <f>IF($AT24=0,0,ROUND(IF(VLOOKUP(BL24,$AQ$4:$AT$27,$AZ$30,FALSE)&lt;&gt;0,BR24/VLOOKUP(BL24,$AQ$4:$AT$27,$AZ$30,FALSE)*100,""),6))</f>
        <v>0</v>
      </c>
      <c r="BV24" s="15"/>
      <c r="BW24" s="190"/>
      <c r="BX24" s="190"/>
      <c r="BY24" s="190"/>
      <c r="BZ24" s="190"/>
      <c r="CA24" s="190"/>
      <c r="CB24" s="190"/>
      <c r="CC24" s="190"/>
      <c r="CD24" s="190"/>
      <c r="CH24" s="543">
        <f>+CH23+1</f>
        <v>21</v>
      </c>
      <c r="CI24" s="678">
        <f>FR24</f>
        <v>21</v>
      </c>
      <c r="CJ24" s="655" t="s">
        <v>410</v>
      </c>
      <c r="CK24" s="657">
        <f>VLOOKUP(CI24,$J$4:$M$27,$CK$32,FALSE)</f>
        <v>0</v>
      </c>
      <c r="CL24" s="646">
        <f>CK24*$CL$28</f>
        <v>0</v>
      </c>
      <c r="CM24" s="657">
        <f>VLOOKUP(CI24,$J$4:$P$27,$CM$32,FALSE)</f>
        <v>0</v>
      </c>
      <c r="CN24" s="646">
        <f>CM24*$CN$28</f>
        <v>0</v>
      </c>
      <c r="CO24" s="646">
        <f>CN24+CL24</f>
        <v>0</v>
      </c>
      <c r="CP24" s="657">
        <f>CO24/$CO$28</f>
        <v>0</v>
      </c>
      <c r="CQ24" s="709">
        <f>IF($AT24=0,0,ROUND(IF(VLOOKUP(CI24,$AQ$4:$AT$27,$AZ$30,FALSE)&lt;&gt;0,CO24/VLOOKUP(CI24,$AQ$4:$AT$27,$AZ$30,FALSE)*100,""),6))</f>
        <v>0</v>
      </c>
      <c r="DD24" s="15"/>
      <c r="DG24" s="545">
        <f>+DG23+1</f>
        <v>21</v>
      </c>
      <c r="DH24" s="739">
        <f>FR24</f>
        <v>21</v>
      </c>
      <c r="DI24" s="655" t="s">
        <v>410</v>
      </c>
      <c r="DJ24" s="657">
        <f>VLOOKUP(DH24,$CI$4:$CP$27,$DJ$33,FALSE)</f>
        <v>0</v>
      </c>
      <c r="DK24" s="646">
        <f>DJ24*$DK$28</f>
        <v>0</v>
      </c>
      <c r="DL24" s="657">
        <f>VLOOKUP(DH24,$J$4:$Q$27,$DL$33,FALSE)</f>
        <v>0</v>
      </c>
      <c r="DM24" s="646">
        <f>DL24*$DM$28</f>
        <v>0</v>
      </c>
      <c r="DN24" s="657">
        <f>VLOOKUP(DH24,$J$4:$Q$27,$DN$33,FALSE)</f>
        <v>0</v>
      </c>
      <c r="DO24" s="646">
        <f>DN24*$DO$28</f>
        <v>0</v>
      </c>
      <c r="DP24" s="646">
        <f>DK24+DM24+DO24</f>
        <v>0</v>
      </c>
      <c r="DQ24" s="657">
        <f>DP24/$DP$28</f>
        <v>0</v>
      </c>
      <c r="DR24" s="709">
        <f>IF($AT24=0,0,ROUND(IF(VLOOKUP(DH24,$AQ$4:$AT$27,$AZ$30,FALSE)&lt;&gt;0,DP24/VLOOKUP(DH24,$AQ$4:$AT$27,$AZ$30,FALSE)*100,""),6))</f>
        <v>0</v>
      </c>
      <c r="DV24" s="545">
        <f>+DV23+1</f>
        <v>21</v>
      </c>
      <c r="DW24" s="739">
        <f>GG24</f>
        <v>21</v>
      </c>
      <c r="DX24" s="655" t="s">
        <v>410</v>
      </c>
      <c r="DY24" s="657">
        <f>VLOOKUP(DW24,$J$4:$Q$27,$DY$33,FALSE)</f>
        <v>0</v>
      </c>
      <c r="DZ24" s="646">
        <f>DY24*$DZ$28</f>
        <v>0</v>
      </c>
      <c r="EA24" s="709">
        <f>IF($AT24=0,0,ROUND(IF(VLOOKUP(DW24,$AQ$4:$AT$27,$AZ$30,FALSE)&lt;&gt;0,DZ24/VLOOKUP(DW24,$AQ$4:$AT$27,$AZ$30,FALSE)*100,""),6))</f>
        <v>0</v>
      </c>
      <c r="EM24" s="545">
        <f>+EM23+1</f>
        <v>21</v>
      </c>
      <c r="EN24" s="739">
        <f>FR24</f>
        <v>21</v>
      </c>
      <c r="EO24" s="655" t="s">
        <v>410</v>
      </c>
      <c r="EP24" s="657">
        <f>VLOOKUP(EN24,$V$4:$Y$27,$EP$33,FALSE)</f>
        <v>0</v>
      </c>
      <c r="EQ24" s="646">
        <f>EP24*$EQ$28</f>
        <v>0</v>
      </c>
      <c r="ER24" s="657">
        <f>VLOOKUP(EN24,$CI$4:$CP$27,$ER$33,FALSE)</f>
        <v>0</v>
      </c>
      <c r="ES24" s="646">
        <f>ER24*$ES$28</f>
        <v>0</v>
      </c>
      <c r="ET24" s="657">
        <f>VLOOKUP(EN24,$J$4:$M$27,$ET$33,FALSE)</f>
        <v>0</v>
      </c>
      <c r="EU24" s="646">
        <f>ET24*$EU$28</f>
        <v>0</v>
      </c>
      <c r="EV24" s="646">
        <f>EQ24+ES24+EU24</f>
        <v>0</v>
      </c>
      <c r="EW24" s="657">
        <f>EV24/$EV$28</f>
        <v>0</v>
      </c>
      <c r="EX24" s="709">
        <f>IF($AT24=0,0,ROUND(IF(VLOOKUP(EN24,$AQ$4:$AT$27,$AZ$30,FALSE)&lt;&gt;0,EV24/VLOOKUP(EN24,$AQ$4:$AT$27,$AZ$30,FALSE)*100,""),6))</f>
        <v>0</v>
      </c>
      <c r="FH24" s="545">
        <f>+FH23+1</f>
        <v>21</v>
      </c>
      <c r="FI24" s="669">
        <f>FR24</f>
        <v>21</v>
      </c>
      <c r="FJ24" s="655" t="s">
        <v>410</v>
      </c>
      <c r="FK24" s="657">
        <f>Y24</f>
        <v>0</v>
      </c>
      <c r="FL24" s="646">
        <f>Y24*$FL$28</f>
        <v>0</v>
      </c>
      <c r="FM24" s="709">
        <f>IF($AT24=0,0,ROUND(IF(VLOOKUP(FI24,$AQ$4:$AT$27,$AZ$30,FALSE)&lt;&gt;0,FL24/VLOOKUP(FI24,$AQ$4:$AT$27,$AZ$30,FALSE)*100,""),6))</f>
        <v>0</v>
      </c>
      <c r="FQ24" s="543">
        <v>21</v>
      </c>
      <c r="FR24" s="669">
        <v>21</v>
      </c>
      <c r="FS24" s="655" t="s">
        <v>410</v>
      </c>
      <c r="FT24" s="646">
        <f>VLOOKUP(FR24,$AQ$4:$AZ$27,$FT$33,FALSE)</f>
        <v>0</v>
      </c>
      <c r="FU24" s="646">
        <f>VLOOKUP(FR24,$BL$4:$BS$86,$FU$33,FALSE)</f>
        <v>0</v>
      </c>
      <c r="FV24" s="646">
        <f>VLOOKUP(FR24,$CI$4:$CQ$27,$FV$33,FALSE)</f>
        <v>0</v>
      </c>
      <c r="FW24" s="646">
        <f>VLOOKUP(FR24,$DH$4:$DP$27,$FW$33,FALSE)</f>
        <v>0</v>
      </c>
      <c r="FX24" s="646">
        <f>VLOOKUP(FR24,$DW$4:$EA$27,$FX$33,FALSE)</f>
        <v>0</v>
      </c>
      <c r="FY24" s="646">
        <f>VLOOKUP(FR24,$EN$4:$EV$28,$FY$34,FALSE)</f>
        <v>0</v>
      </c>
      <c r="FZ24" s="646">
        <f>VLOOKUP(FR24,$FI$4:$FL$27,$FZ$33,FALSE)</f>
        <v>0</v>
      </c>
      <c r="GA24" s="646">
        <f>SUM(FT24:FZ24)</f>
        <v>0</v>
      </c>
      <c r="GB24" s="746">
        <f>IF($AT24=0,0,ROUND(IF(VLOOKUP(FR24,$AQ$4:$AT$27,$AZ$30,FALSE)&lt;&gt;0,GA24/VLOOKUP(FR24,$AQ$4:$AT$27,$AZ$30,FALSE)*100,""),6))</f>
        <v>0</v>
      </c>
      <c r="GF24" s="545">
        <f>+GF23+1</f>
        <v>21</v>
      </c>
      <c r="GG24" s="669">
        <f>FR24</f>
        <v>21</v>
      </c>
      <c r="GH24" s="655" t="s">
        <v>410</v>
      </c>
      <c r="GI24" s="709">
        <f>VLOOKUP(GG24,$AQ$4:$AZ$27,$GI$31,FALSE)</f>
        <v>0</v>
      </c>
      <c r="GJ24" s="709">
        <f>VLOOKUP(GG24,$BL$4:$BS$27,$GJ$31,FALSE)</f>
        <v>0</v>
      </c>
      <c r="GK24" s="709">
        <f>VLOOKUP(GG24,$CI$4:$CQ$27,$GK$31,FALSE)</f>
        <v>0</v>
      </c>
      <c r="GL24" s="709">
        <f>VLOOKUP(GG24,$DH$4:$DR$27,$GL$31,FALSE)</f>
        <v>0</v>
      </c>
      <c r="GM24" s="709">
        <f>VLOOKUP(GG24,$DW$4:$EA$27,$GM$31,FALSE)</f>
        <v>0</v>
      </c>
      <c r="GN24" s="709">
        <f>VLOOKUP(GG24,$EN$4:$EX$28,$GN$31,FALSE)</f>
        <v>0</v>
      </c>
      <c r="GO24" s="709">
        <f>VLOOKUP(GG24,$FI$4:$FM$27,$GO$31,FALSE)</f>
        <v>0</v>
      </c>
      <c r="GP24" s="709">
        <f>VLOOKUP(GG24,$FR$4:$GB$27,$GP$31,FALSE)</f>
        <v>0</v>
      </c>
      <c r="GQ24" s="656">
        <f>L24</f>
        <v>0</v>
      </c>
      <c r="GR24" s="530"/>
      <c r="GU24" s="543">
        <f>+GU23+1</f>
        <v>21</v>
      </c>
      <c r="GV24" s="669">
        <f>FR24</f>
        <v>21</v>
      </c>
      <c r="GW24" s="655" t="s">
        <v>410</v>
      </c>
      <c r="GX24" s="658" t="s">
        <v>384</v>
      </c>
      <c r="GY24" s="646">
        <f>GA24</f>
        <v>0</v>
      </c>
      <c r="GZ24" s="656">
        <f>VLOOKUP(GV24,$GG$4:$GQ$27,$GZ$34,FALSE)</f>
        <v>0</v>
      </c>
      <c r="HA24" s="709">
        <f>IF(GW24="Specialty Containers",$HA$31,ROUND(IF(GZ24&lt;&gt;0,GY24/GZ24*100,0),6))</f>
        <v>0</v>
      </c>
      <c r="HB24" s="646">
        <f>ROUND(HA24,10)*GZ24/100</f>
        <v>0</v>
      </c>
      <c r="HC24" s="749">
        <f>HB24-GY24</f>
        <v>0</v>
      </c>
      <c r="HD24" s="549"/>
      <c r="HG24" s="549"/>
      <c r="HH24" s="549"/>
      <c r="HI24" s="549"/>
      <c r="HJ24" s="549"/>
      <c r="HK24" s="549"/>
      <c r="HL24" s="549"/>
      <c r="HM24" s="549"/>
      <c r="HP24" s="545">
        <f>+HP23+1</f>
        <v>21</v>
      </c>
      <c r="HQ24" s="761">
        <f>FR24</f>
        <v>21</v>
      </c>
      <c r="HR24" s="655" t="s">
        <v>410</v>
      </c>
      <c r="HS24" s="656">
        <f>L24</f>
        <v>0</v>
      </c>
      <c r="HT24" s="756">
        <f>HA24</f>
        <v>0</v>
      </c>
      <c r="HU24" s="756">
        <v>8.3326989999999999</v>
      </c>
      <c r="HV24" s="647">
        <f>IF(HU24&lt;&gt;0,HT24/HU24-1,"")</f>
        <v>-1</v>
      </c>
      <c r="HW24" s="756">
        <f>HT24-HU24</f>
        <v>-8.3326989999999999</v>
      </c>
      <c r="HX24" s="648">
        <v>10</v>
      </c>
      <c r="IO24" s="545">
        <v>21</v>
      </c>
      <c r="IP24" s="761">
        <v>21</v>
      </c>
      <c r="IQ24" s="655" t="s">
        <v>410</v>
      </c>
      <c r="IR24" s="769">
        <f>GY24</f>
        <v>0</v>
      </c>
      <c r="IS24" s="770">
        <f>GZ24</f>
        <v>0</v>
      </c>
      <c r="IT24" s="771">
        <f>HA24</f>
        <v>0</v>
      </c>
      <c r="IU24" s="991">
        <v>0</v>
      </c>
      <c r="IV24" s="656">
        <f>IS24-IU24</f>
        <v>0</v>
      </c>
      <c r="IW24" s="769">
        <f>IU24*$IH$4</f>
        <v>0</v>
      </c>
      <c r="IX24" s="769">
        <f>IR24-IW24</f>
        <v>0</v>
      </c>
      <c r="IY24" s="550">
        <f>IT24</f>
        <v>0</v>
      </c>
      <c r="IZ24" s="550">
        <f>IY24</f>
        <v>0</v>
      </c>
      <c r="JA24" s="769">
        <f>(IY24*IV24+IZ24*IU24)/100</f>
        <v>0</v>
      </c>
      <c r="JB24" s="746">
        <f>IT24-IY24</f>
        <v>0</v>
      </c>
      <c r="JF24" s="545">
        <f>+JF23+1</f>
        <v>21</v>
      </c>
      <c r="JG24" s="761">
        <f>FR24</f>
        <v>21</v>
      </c>
      <c r="JH24" s="655" t="s">
        <v>410</v>
      </c>
      <c r="JI24" s="656">
        <f>L24</f>
        <v>0</v>
      </c>
      <c r="JJ24" s="756">
        <f>IY24</f>
        <v>0</v>
      </c>
      <c r="JK24" s="756">
        <v>8.3326989999999999</v>
      </c>
      <c r="JL24" s="647">
        <f>IF(JK24&lt;&gt;0,JJ24/JK24-1,"")</f>
        <v>-1</v>
      </c>
      <c r="JM24" s="756">
        <f>JJ24-JK24</f>
        <v>-8.3326989999999999</v>
      </c>
      <c r="JN24" s="648">
        <v>10</v>
      </c>
      <c r="JS24" s="756">
        <v>0</v>
      </c>
      <c r="JT24" s="756">
        <f>JJ24-JS24</f>
        <v>0</v>
      </c>
      <c r="JU24" s="1009">
        <v>0</v>
      </c>
      <c r="JV24" s="1009">
        <f>JU24-JI24</f>
        <v>0</v>
      </c>
      <c r="JW24" s="1069"/>
      <c r="JX24" s="997">
        <v>0</v>
      </c>
      <c r="JY24" s="997">
        <f>JI24*JJ24/100</f>
        <v>0</v>
      </c>
      <c r="JZ24" s="516"/>
      <c r="KA24" s="516"/>
      <c r="KB24" s="516"/>
      <c r="KC24" s="516"/>
      <c r="KE24" s="516"/>
      <c r="KF24" s="516"/>
    </row>
    <row r="25" spans="2:292" ht="16.5" x14ac:dyDescent="0.3">
      <c r="I25" s="222">
        <v>22</v>
      </c>
      <c r="J25" s="659">
        <f>FR25</f>
        <v>22</v>
      </c>
      <c r="K25" s="660" t="s">
        <v>411</v>
      </c>
      <c r="L25" s="991">
        <v>96396897.497977152</v>
      </c>
      <c r="M25" s="662">
        <f>L25/$L$28</f>
        <v>4.3885319793780846E-2</v>
      </c>
      <c r="N25" s="661">
        <v>1450</v>
      </c>
      <c r="O25" s="661">
        <f>IFERROR(L25/N25,0)</f>
        <v>66480.618964122172</v>
      </c>
      <c r="P25" s="662">
        <f>O25/$O$28</f>
        <v>3.7258018199646213E-2</v>
      </c>
      <c r="Q25" s="663" t="s">
        <v>379</v>
      </c>
      <c r="U25" s="551">
        <f>+U24+1</f>
        <v>22</v>
      </c>
      <c r="V25" s="670">
        <f>FR25</f>
        <v>22</v>
      </c>
      <c r="W25" s="660" t="s">
        <v>411</v>
      </c>
      <c r="X25" s="671">
        <f>SUM(FT25:FX25)</f>
        <v>4502220.714846774</v>
      </c>
      <c r="Y25" s="662">
        <f>SUM(FT25:FX25)/SUM($FT$28:$FX$28)</f>
        <v>4.6525486678288756E-2</v>
      </c>
      <c r="AC25" s="551">
        <f>+AC24+1</f>
        <v>22</v>
      </c>
      <c r="AD25" s="681">
        <v>22</v>
      </c>
      <c r="AE25" s="682" t="s">
        <v>411</v>
      </c>
      <c r="AF25" s="683">
        <v>3.68</v>
      </c>
      <c r="AP25" s="551">
        <f>+AP24+1</f>
        <v>22</v>
      </c>
      <c r="AQ25" s="697">
        <f>FR25</f>
        <v>22</v>
      </c>
      <c r="AR25" s="660" t="s">
        <v>411</v>
      </c>
      <c r="AS25" s="660">
        <f>VLOOKUP(AQ25,$AD$4:$AF$27,$AS$30,FALSE)</f>
        <v>3.68</v>
      </c>
      <c r="AT25" s="698">
        <f>L25</f>
        <v>96396897.497977152</v>
      </c>
      <c r="AU25" s="698">
        <f>AT25*AS25/3600</f>
        <v>98539.050775709984</v>
      </c>
      <c r="AV25" s="699">
        <f>AU25*$AL$5/$AU$28</f>
        <v>101724.50301262736</v>
      </c>
      <c r="AW25" s="700">
        <f>$AL$6</f>
        <v>21.592508896755888</v>
      </c>
      <c r="AX25" s="671">
        <f>AV25*AW25</f>
        <v>2196487.2363182274</v>
      </c>
      <c r="AY25" s="465">
        <f>AX25/$AX$28</f>
        <v>5.2158142864392305E-2</v>
      </c>
      <c r="AZ25" s="553">
        <f>IF($AT25=0,0,ROUND(IF(VLOOKUP(AQ25,$AQ$4:$AT$27,$AZ$30,FALSE)&lt;&gt;0,AX25/VLOOKUP(AQ25,$AQ$4:$AT$27,$AZ$30,FALSE)*100,""),6))</f>
        <v>2.2785869999999999</v>
      </c>
      <c r="BK25" s="222">
        <f>+BK24+1</f>
        <v>22</v>
      </c>
      <c r="BL25" s="663">
        <f>FR25</f>
        <v>22</v>
      </c>
      <c r="BM25" s="660" t="s">
        <v>411</v>
      </c>
      <c r="BN25" s="662">
        <f>VLOOKUP(BL25,$AQ$4:$AY$28,$BN$33,FALSE)</f>
        <v>5.2158142864392305E-2</v>
      </c>
      <c r="BO25" s="671">
        <f>BN25*$BO$28</f>
        <v>500025.14041896956</v>
      </c>
      <c r="BP25" s="662">
        <f>VLOOKUP(BL25,$J$4:$M$27,$BP$33,FALSE)</f>
        <v>4.3885319793780846E-2</v>
      </c>
      <c r="BQ25" s="671">
        <f>BP25*$BQ$28</f>
        <v>420715.96086672362</v>
      </c>
      <c r="BR25" s="710">
        <f>BQ25+BO25</f>
        <v>920741.10128569324</v>
      </c>
      <c r="BS25" s="711">
        <f>IF($AT25=0,0,ROUND(IF(VLOOKUP(BL25,$AQ$4:$AT$27,$AZ$30,FALSE)&lt;&gt;0,BR25/VLOOKUP(BL25,$AQ$4:$AT$27,$AZ$30,FALSE)*100,""),6))</f>
        <v>0.95515600000000001</v>
      </c>
      <c r="BV25" s="15"/>
      <c r="BW25" s="190"/>
      <c r="BX25" s="190"/>
      <c r="BY25" s="190"/>
      <c r="BZ25" s="190"/>
      <c r="CA25" s="190"/>
      <c r="CB25" s="190"/>
      <c r="CC25" s="190"/>
      <c r="CD25" s="190"/>
      <c r="CH25" s="222">
        <f>+CH24+1</f>
        <v>22</v>
      </c>
      <c r="CI25" s="681">
        <f>FR25</f>
        <v>22</v>
      </c>
      <c r="CJ25" s="660" t="s">
        <v>411</v>
      </c>
      <c r="CK25" s="723">
        <f>VLOOKUP(CI25,$J$4:$M$27,$CK$32,FALSE)</f>
        <v>4.3885319793780846E-2</v>
      </c>
      <c r="CL25" s="650">
        <f>CK25*$CL$28</f>
        <v>257244.28077113809</v>
      </c>
      <c r="CM25" s="723">
        <f>VLOOKUP(CI25,$J$4:$P$27,$CM$32,FALSE)</f>
        <v>3.7258018199646213E-2</v>
      </c>
      <c r="CN25" s="650">
        <f>CM25*$CN$28</f>
        <v>715800.22418732685</v>
      </c>
      <c r="CO25" s="650">
        <f>CN25+CL25</f>
        <v>973044.504958465</v>
      </c>
      <c r="CP25" s="723">
        <f>CO25/$CO$28</f>
        <v>3.8807350161894537E-2</v>
      </c>
      <c r="CQ25" s="724">
        <f>IF($AT25=0,0,ROUND(IF(VLOOKUP(CI25,$AQ$4:$AT$27,$AZ$30,FALSE)&lt;&gt;0,CO25/VLOOKUP(CI25,$AQ$4:$AT$27,$AZ$30,FALSE)*100,""),6))</f>
        <v>1.009415</v>
      </c>
      <c r="DD25" s="15"/>
      <c r="DG25" s="551">
        <f>+DG24+1</f>
        <v>22</v>
      </c>
      <c r="DH25" s="677">
        <f>FR25</f>
        <v>22</v>
      </c>
      <c r="DI25" s="660" t="s">
        <v>411</v>
      </c>
      <c r="DJ25" s="723">
        <f>VLOOKUP(DH25,$CI$4:$CP$27,$DJ$33,FALSE)</f>
        <v>3.8807350161894537E-2</v>
      </c>
      <c r="DK25" s="650">
        <f>DJ25*$DK$28</f>
        <v>14618.524468852085</v>
      </c>
      <c r="DL25" s="723">
        <f>VLOOKUP(DH25,$J$4:$Q$27,$DL$33,FALSE)</f>
        <v>3.7258018199646213E-2</v>
      </c>
      <c r="DM25" s="650">
        <f>DL25*$DM$28</f>
        <v>91212.677362421295</v>
      </c>
      <c r="DN25" s="723">
        <f>VLOOKUP(DH25,$J$4:$Q$27,$DN$33,FALSE)</f>
        <v>4.3885319793780846E-2</v>
      </c>
      <c r="DO25" s="650">
        <f>DN25*$DO$28</f>
        <v>155743.03213985212</v>
      </c>
      <c r="DP25" s="650">
        <f>DK25+DM25+DO25</f>
        <v>261574.2339711255</v>
      </c>
      <c r="DQ25" s="723">
        <f>DP25/$DP$28</f>
        <v>4.103965822708161E-2</v>
      </c>
      <c r="DR25" s="724">
        <f>IF($AT25=0,0,ROUND(IF(VLOOKUP(DH25,$AQ$4:$AT$27,$AZ$30,FALSE)&lt;&gt;0,DP25/VLOOKUP(DH25,$AQ$4:$AT$27,$AZ$30,FALSE)*100,""),6))</f>
        <v>0.27135100000000001</v>
      </c>
      <c r="DV25" s="551">
        <f>+DV24+1</f>
        <v>22</v>
      </c>
      <c r="DW25" s="677">
        <f>GG25</f>
        <v>22</v>
      </c>
      <c r="DX25" s="660" t="s">
        <v>411</v>
      </c>
      <c r="DY25" s="723">
        <f>VLOOKUP(DW25,$J$4:$Q$27,$DY$33,FALSE)</f>
        <v>3.7258018199646213E-2</v>
      </c>
      <c r="DZ25" s="650">
        <f>DY25*$DZ$28</f>
        <v>150373.63831326249</v>
      </c>
      <c r="EA25" s="724">
        <f>IF($AT25=0,0,ROUND(IF(VLOOKUP(DW25,$AQ$4:$AT$27,$AZ$30,FALSE)&lt;&gt;0,DZ25/VLOOKUP(DW25,$AQ$4:$AT$27,$AZ$30,FALSE)*100,""),6))</f>
        <v>0.15599399999999999</v>
      </c>
      <c r="EM25" s="551">
        <f>+EM24+1</f>
        <v>22</v>
      </c>
      <c r="EN25" s="677">
        <f>FR25</f>
        <v>22</v>
      </c>
      <c r="EO25" s="660" t="s">
        <v>411</v>
      </c>
      <c r="EP25" s="723">
        <f>VLOOKUP(EN25,$V$4:$Y$27,$EP$33,FALSE)</f>
        <v>4.6525486678288756E-2</v>
      </c>
      <c r="EQ25" s="650">
        <f>EP25*$EQ$28</f>
        <v>366098.23925734701</v>
      </c>
      <c r="ER25" s="723">
        <f>VLOOKUP(EN25,$CI$4:$CP$27,$ER$33,FALSE)</f>
        <v>3.8807350161894537E-2</v>
      </c>
      <c r="ES25" s="650">
        <f>ER25*$ES$28</f>
        <v>39417.637797704992</v>
      </c>
      <c r="ET25" s="723">
        <f>VLOOKUP(EN25,$J$4:$M$27,$ET$33,FALSE)</f>
        <v>4.3885319793780846E-2</v>
      </c>
      <c r="EU25" s="650">
        <f>ET25*$EU$28</f>
        <v>188697.49870303567</v>
      </c>
      <c r="EV25" s="650">
        <f>EQ25+ES25+EU25</f>
        <v>594213.37575808773</v>
      </c>
      <c r="EW25" s="723">
        <f>EV25/$EV$28</f>
        <v>4.5069839032622162E-2</v>
      </c>
      <c r="EX25" s="724">
        <f>IF($AT25=0,0,ROUND(IF(VLOOKUP(EN25,$AQ$4:$AT$27,$AZ$30,FALSE)&lt;&gt;0,EV25/VLOOKUP(EN25,$AQ$4:$AT$27,$AZ$30,FALSE)*100,""),6))</f>
        <v>0.61642399999999997</v>
      </c>
      <c r="FH25" s="551">
        <f>+FH24+1</f>
        <v>22</v>
      </c>
      <c r="FI25" s="670">
        <f>FR25</f>
        <v>22</v>
      </c>
      <c r="FJ25" s="660" t="s">
        <v>411</v>
      </c>
      <c r="FK25" s="723">
        <f>Y25</f>
        <v>4.6525486678288756E-2</v>
      </c>
      <c r="FL25" s="650">
        <f>Y25*$FL$28</f>
        <v>918357.59111044055</v>
      </c>
      <c r="FM25" s="724">
        <f>IF($AT25=0,0,ROUND(IF(VLOOKUP(FI25,$AQ$4:$AT$27,$AZ$30,FALSE)&lt;&gt;0,FL25/VLOOKUP(FI25,$AQ$4:$AT$27,$AZ$30,FALSE)*100,""),6))</f>
        <v>0.95268399999999998</v>
      </c>
      <c r="FQ25" s="222">
        <v>22</v>
      </c>
      <c r="FR25" s="670">
        <v>22</v>
      </c>
      <c r="FS25" s="660" t="s">
        <v>411</v>
      </c>
      <c r="FT25" s="650">
        <f>VLOOKUP(FR25,$AQ$4:$AZ$27,$FT$33,FALSE)</f>
        <v>2196487.2363182274</v>
      </c>
      <c r="FU25" s="650">
        <f>VLOOKUP(FR25,$BL$4:$BS$86,$FU$33,FALSE)</f>
        <v>920741.10128569324</v>
      </c>
      <c r="FV25" s="650">
        <f>VLOOKUP(FR25,$CI$4:$CQ$27,$FV$33,FALSE)</f>
        <v>973044.504958465</v>
      </c>
      <c r="FW25" s="650">
        <f>VLOOKUP(FR25,$DH$4:$DP$27,$FW$33,FALSE)</f>
        <v>261574.2339711255</v>
      </c>
      <c r="FX25" s="650">
        <f>VLOOKUP(FR25,$DW$4:$EA$27,$FX$33,FALSE)</f>
        <v>150373.63831326249</v>
      </c>
      <c r="FY25" s="650">
        <f>VLOOKUP(FR25,$EN$4:$EV$28,$FY$34,FALSE)</f>
        <v>594213.37575808773</v>
      </c>
      <c r="FZ25" s="650">
        <f>VLOOKUP(FR25,$FI$4:$FL$27,$FZ$33,FALSE)</f>
        <v>918357.59111044055</v>
      </c>
      <c r="GA25" s="650">
        <f>SUM(FT25:FZ25)</f>
        <v>6014791.6817153031</v>
      </c>
      <c r="GB25" s="747">
        <f>IF($AT25=0,0,ROUND(IF(VLOOKUP(FR25,$AQ$4:$AT$27,$AZ$30,FALSE)&lt;&gt;0,GA25/VLOOKUP(FR25,$AQ$4:$AT$27,$AZ$30,FALSE)*100,""),6))</f>
        <v>6.239611</v>
      </c>
      <c r="GF25" s="551">
        <f>+GF24+1</f>
        <v>22</v>
      </c>
      <c r="GG25" s="670">
        <f>FR25</f>
        <v>22</v>
      </c>
      <c r="GH25" s="660" t="s">
        <v>411</v>
      </c>
      <c r="GI25" s="724">
        <f>VLOOKUP(GG25,$AQ$4:$AZ$27,$GI$31,FALSE)</f>
        <v>2.2785869999999999</v>
      </c>
      <c r="GJ25" s="724">
        <f>VLOOKUP(GG25,$BL$4:$BS$27,$GJ$31,FALSE)</f>
        <v>0.95515600000000001</v>
      </c>
      <c r="GK25" s="724">
        <f>VLOOKUP(GG25,$CI$4:$CQ$27,$GK$31,FALSE)</f>
        <v>1.009415</v>
      </c>
      <c r="GL25" s="724">
        <f>VLOOKUP(GG25,$DH$4:$DR$27,$GL$31,FALSE)</f>
        <v>0.27135100000000001</v>
      </c>
      <c r="GM25" s="724">
        <f>VLOOKUP(GG25,$DW$4:$EA$27,$GM$31,FALSE)</f>
        <v>0.15599399999999999</v>
      </c>
      <c r="GN25" s="724">
        <f>VLOOKUP(GG25,$EN$4:$EX$28,$GN$31,FALSE)</f>
        <v>0.61642399999999997</v>
      </c>
      <c r="GO25" s="724">
        <f>VLOOKUP(GG25,$FI$4:$FM$27,$GO$31,FALSE)</f>
        <v>0.95268399999999998</v>
      </c>
      <c r="GP25" s="724">
        <f>VLOOKUP(GG25,$FR$4:$GB$27,$GP$31,FALSE)</f>
        <v>6.239611</v>
      </c>
      <c r="GQ25" s="661">
        <f>L25</f>
        <v>96396897.497977152</v>
      </c>
      <c r="GR25" s="530"/>
      <c r="GU25" s="222">
        <f>+GU24+1</f>
        <v>22</v>
      </c>
      <c r="GV25" s="670">
        <f>FR25</f>
        <v>22</v>
      </c>
      <c r="GW25" s="660" t="s">
        <v>411</v>
      </c>
      <c r="GX25" s="663" t="s">
        <v>379</v>
      </c>
      <c r="GY25" s="671">
        <f>GA25</f>
        <v>6014791.6817153031</v>
      </c>
      <c r="GZ25" s="661">
        <f>VLOOKUP(GV25,$GG$4:$GQ$27,$GZ$34,FALSE)</f>
        <v>96396897.497977152</v>
      </c>
      <c r="HA25" s="724">
        <f>IF(GW25="Specialty Containers",$HA$31,ROUND(IF(GZ25&lt;&gt;0,GY25/GZ25*100,0),6))</f>
        <v>6.239611</v>
      </c>
      <c r="HB25" s="650">
        <f>ROUND(HA25,10)*GZ25/100</f>
        <v>6014791.4199425075</v>
      </c>
      <c r="HC25" s="750">
        <f>HB25-GY25</f>
        <v>-0.26177279558032751</v>
      </c>
      <c r="HD25" s="549"/>
      <c r="HG25" s="549"/>
      <c r="HH25" s="549"/>
      <c r="HI25" s="549"/>
      <c r="HJ25" s="549"/>
      <c r="HK25" s="549"/>
      <c r="HL25" s="549"/>
      <c r="HM25" s="549"/>
      <c r="HP25" s="551">
        <f>+HP24+1</f>
        <v>22</v>
      </c>
      <c r="HQ25" s="762">
        <f>FR25</f>
        <v>22</v>
      </c>
      <c r="HR25" s="660" t="s">
        <v>411</v>
      </c>
      <c r="HS25" s="661">
        <f>L25</f>
        <v>96396897.497977152</v>
      </c>
      <c r="HT25" s="757">
        <f>HA25</f>
        <v>6.239611</v>
      </c>
      <c r="HU25" s="757">
        <v>5.4577720000000003</v>
      </c>
      <c r="HV25" s="651">
        <f>IF(HU25&lt;&gt;0,HT25/HU25-1,"")</f>
        <v>0.14325241142356249</v>
      </c>
      <c r="HW25" s="757">
        <f>HT25-HU25</f>
        <v>0.78183899999999973</v>
      </c>
      <c r="HX25" s="652">
        <v>10</v>
      </c>
      <c r="IO25" s="551">
        <v>22</v>
      </c>
      <c r="IP25" s="762">
        <v>22</v>
      </c>
      <c r="IQ25" s="660" t="s">
        <v>411</v>
      </c>
      <c r="IR25" s="772">
        <f>GY25</f>
        <v>6014791.6817153031</v>
      </c>
      <c r="IS25" s="773">
        <f>GZ25</f>
        <v>96396897.497977152</v>
      </c>
      <c r="IT25" s="774">
        <f>HA25</f>
        <v>6.239611</v>
      </c>
      <c r="IU25" s="661">
        <f>IS25*$IJ$4/(1-$IK$4)</f>
        <v>14090418.430796148</v>
      </c>
      <c r="IV25" s="661">
        <f>IS25-IU25</f>
        <v>82306479.067181006</v>
      </c>
      <c r="IW25" s="772">
        <f>IU25*$IH$4</f>
        <v>211356.27646194221</v>
      </c>
      <c r="IX25" s="772">
        <f>IR25-IW25</f>
        <v>5803435.405253361</v>
      </c>
      <c r="IY25" s="455">
        <f>IX25/IS25*100</f>
        <v>6.0203549656514035</v>
      </c>
      <c r="IZ25" s="455">
        <f>IY25+1.5</f>
        <v>7.5203549656514035</v>
      </c>
      <c r="JA25" s="772">
        <f>(IY25*IV25+IZ25*IU25)/100</f>
        <v>6014791.681715304</v>
      </c>
      <c r="JB25" s="747">
        <f>IT25-IY25</f>
        <v>0.21925603434859653</v>
      </c>
      <c r="JF25" s="551">
        <f>+JF24+1</f>
        <v>22</v>
      </c>
      <c r="JG25" s="762">
        <f>FR25</f>
        <v>22</v>
      </c>
      <c r="JH25" s="660" t="s">
        <v>411</v>
      </c>
      <c r="JI25" s="661">
        <f>L25</f>
        <v>96396897.497977152</v>
      </c>
      <c r="JJ25" s="757">
        <f>IY25</f>
        <v>6.0203549656514035</v>
      </c>
      <c r="JK25" s="757">
        <v>5.2355386918523079</v>
      </c>
      <c r="JL25" s="651">
        <f>IF(JK25&lt;&gt;0,JJ25/JK25-1,"")</f>
        <v>0.14990172358394527</v>
      </c>
      <c r="JM25" s="757">
        <f>JJ25-JK25</f>
        <v>0.78481627379909558</v>
      </c>
      <c r="JN25" s="652">
        <v>10</v>
      </c>
      <c r="JS25" s="757">
        <v>6.0364948878303935</v>
      </c>
      <c r="JT25" s="757"/>
      <c r="JU25" s="1010">
        <v>95127152</v>
      </c>
      <c r="JV25" s="1010">
        <f>JU25-JI25</f>
        <v>-1269745.4979771525</v>
      </c>
      <c r="JW25" s="1069">
        <f>JT25/JS25</f>
        <v>0</v>
      </c>
      <c r="JX25" s="997">
        <v>5742345.6674186476</v>
      </c>
      <c r="JY25" s="997">
        <f>JI25*JJ25/100</f>
        <v>5803435.4052533619</v>
      </c>
      <c r="JZ25" s="516"/>
      <c r="KA25" s="516"/>
      <c r="KB25" s="516"/>
      <c r="KC25" s="516"/>
      <c r="KE25" s="516"/>
      <c r="KF25" s="516"/>
    </row>
    <row r="26" spans="2:292" ht="16.5" x14ac:dyDescent="0.3">
      <c r="I26" s="543">
        <v>23</v>
      </c>
      <c r="J26" s="654">
        <f>FR26</f>
        <v>23</v>
      </c>
      <c r="K26" s="655" t="s">
        <v>412</v>
      </c>
      <c r="L26" s="991">
        <v>610887.79078922863</v>
      </c>
      <c r="M26" s="657">
        <f>L26/$L$28</f>
        <v>2.7811067319323388E-4</v>
      </c>
      <c r="N26" s="656">
        <v>243</v>
      </c>
      <c r="O26" s="656">
        <f>IFERROR(L26/N26,0)</f>
        <v>2513.9415258815993</v>
      </c>
      <c r="P26" s="657">
        <f>O26/$O$28</f>
        <v>1.4088990232580603E-3</v>
      </c>
      <c r="Q26" s="658" t="s">
        <v>379</v>
      </c>
      <c r="U26" s="545">
        <f>+U25+1</f>
        <v>23</v>
      </c>
      <c r="V26" s="669">
        <f>FR26</f>
        <v>23</v>
      </c>
      <c r="W26" s="655" t="s">
        <v>412</v>
      </c>
      <c r="X26" s="646">
        <f>SUM(FT26:FX26)</f>
        <v>88399.981048817761</v>
      </c>
      <c r="Y26" s="657">
        <f>SUM(FT26:FX26)/SUM($FT$28:$FX$28)</f>
        <v>9.135163291939417E-4</v>
      </c>
      <c r="AC26" s="545">
        <f>+AC25+1</f>
        <v>23</v>
      </c>
      <c r="AD26" s="678">
        <v>23</v>
      </c>
      <c r="AE26" s="679" t="s">
        <v>412</v>
      </c>
      <c r="AF26" s="680">
        <v>10.01</v>
      </c>
      <c r="AP26" s="545">
        <f>+AP25+1</f>
        <v>23</v>
      </c>
      <c r="AQ26" s="693">
        <f>FR26</f>
        <v>23</v>
      </c>
      <c r="AR26" s="655" t="s">
        <v>412</v>
      </c>
      <c r="AS26" s="655">
        <f>VLOOKUP(AQ26,$AD$4:$AF$27,$AS$30,FALSE)</f>
        <v>10.01</v>
      </c>
      <c r="AT26" s="694">
        <f>L26</f>
        <v>610887.79078922863</v>
      </c>
      <c r="AU26" s="694">
        <f>AT26*AS26/3600</f>
        <v>1698.6074405000495</v>
      </c>
      <c r="AV26" s="695">
        <f>AU26*$AL$5/$AU$28</f>
        <v>1753.5179843746935</v>
      </c>
      <c r="AW26" s="696">
        <f>$AL$6</f>
        <v>21.592508896755888</v>
      </c>
      <c r="AX26" s="646">
        <f>AV26*AW26</f>
        <v>37862.852678232019</v>
      </c>
      <c r="AY26" s="544">
        <f>AX26/$AX$28</f>
        <v>8.9909745278326169E-4</v>
      </c>
      <c r="AZ26" s="548">
        <f>IF($AT26=0,0,ROUND(IF(VLOOKUP(AQ26,$AQ$4:$AT$27,$AZ$30,FALSE)&lt;&gt;0,AX26/VLOOKUP(AQ26,$AQ$4:$AT$27,$AZ$30,FALSE)*100,""),6))</f>
        <v>6.1980040000000001</v>
      </c>
      <c r="BK26" s="543">
        <f>+BK25+1</f>
        <v>23</v>
      </c>
      <c r="BL26" s="658">
        <f>FR26</f>
        <v>23</v>
      </c>
      <c r="BM26" s="655" t="s">
        <v>412</v>
      </c>
      <c r="BN26" s="657">
        <f>VLOOKUP(BL26,$AQ$4:$AY$28,$BN$33,FALSE)</f>
        <v>8.9909745278326169E-4</v>
      </c>
      <c r="BO26" s="646">
        <f>BN26*$BO$28</f>
        <v>8619.3891382817019</v>
      </c>
      <c r="BP26" s="657">
        <f>VLOOKUP(BL26,$J$4:$M$27,$BP$33,FALSE)</f>
        <v>2.7811067319323388E-4</v>
      </c>
      <c r="BQ26" s="646">
        <f>BP26*$BQ$28</f>
        <v>2666.1671750279475</v>
      </c>
      <c r="BR26" s="708">
        <f>BQ26+BO26</f>
        <v>11285.556313309649</v>
      </c>
      <c r="BS26" s="709">
        <f>IF($AT26=0,0,ROUND(IF(VLOOKUP(BL26,$AQ$4:$AT$27,$AZ$30,FALSE)&lt;&gt;0,BR26/VLOOKUP(BL26,$AQ$4:$AT$27,$AZ$30,FALSE)*100,""),6))</f>
        <v>1.847402</v>
      </c>
      <c r="BV26" s="15"/>
      <c r="BW26" s="190"/>
      <c r="BX26" s="190"/>
      <c r="BY26" s="190"/>
      <c r="BZ26" s="190"/>
      <c r="CA26" s="190"/>
      <c r="CB26" s="190"/>
      <c r="CC26" s="190"/>
      <c r="CD26" s="190"/>
      <c r="CH26" s="543">
        <f>+CH25+1</f>
        <v>23</v>
      </c>
      <c r="CI26" s="678">
        <f>FR26</f>
        <v>23</v>
      </c>
      <c r="CJ26" s="655" t="s">
        <v>412</v>
      </c>
      <c r="CK26" s="657">
        <f>VLOOKUP(CI26,$J$4:$M$27,$CK$32,FALSE)</f>
        <v>2.7811067319323388E-4</v>
      </c>
      <c r="CL26" s="646">
        <f>CK26*$CL$28</f>
        <v>1630.212117321953</v>
      </c>
      <c r="CM26" s="657">
        <f>VLOOKUP(CI26,$J$4:$P$27,$CM$32,FALSE)</f>
        <v>1.4088990232580603E-3</v>
      </c>
      <c r="CN26" s="646">
        <f>CM26*$CN$28</f>
        <v>27067.736971447441</v>
      </c>
      <c r="CO26" s="646">
        <f>CN26+CL26</f>
        <v>28697.949088769394</v>
      </c>
      <c r="CP26" s="657">
        <f>CO26/$CO$28</f>
        <v>1.1445430846594572E-3</v>
      </c>
      <c r="CQ26" s="709">
        <f>IF($AT26=0,0,ROUND(IF(VLOOKUP(CI26,$AQ$4:$AT$27,$AZ$30,FALSE)&lt;&gt;0,CO26/VLOOKUP(CI26,$AQ$4:$AT$27,$AZ$30,FALSE)*100,""),6))</f>
        <v>4.6977450000000003</v>
      </c>
      <c r="DD26" s="15"/>
      <c r="DG26" s="545">
        <f>+DG25+1</f>
        <v>23</v>
      </c>
      <c r="DH26" s="739">
        <f>FR26</f>
        <v>23</v>
      </c>
      <c r="DI26" s="655" t="s">
        <v>412</v>
      </c>
      <c r="DJ26" s="657">
        <f>VLOOKUP(DH26,$CI$4:$CP$27,$DJ$33,FALSE)</f>
        <v>1.1445430846594572E-3</v>
      </c>
      <c r="DK26" s="646">
        <f>DJ26*$DK$28</f>
        <v>431.14335348716071</v>
      </c>
      <c r="DL26" s="657">
        <f>VLOOKUP(DH26,$J$4:$Q$27,$DL$33,FALSE)</f>
        <v>1.4088990232580603E-3</v>
      </c>
      <c r="DM26" s="646">
        <f>DL26*$DM$28</f>
        <v>3449.1757279212511</v>
      </c>
      <c r="DN26" s="657">
        <f>VLOOKUP(DH26,$J$4:$Q$27,$DN$33,FALSE)</f>
        <v>2.7811067319323388E-4</v>
      </c>
      <c r="DO26" s="646">
        <f>DN26*$DO$28</f>
        <v>986.97695988324313</v>
      </c>
      <c r="DP26" s="646">
        <f>DK26+DM26+DO26</f>
        <v>4867.2960412916545</v>
      </c>
      <c r="DQ26" s="657">
        <f>DP26/$DP$28</f>
        <v>7.6365383161816668E-4</v>
      </c>
      <c r="DR26" s="709">
        <f>IF($AT26=0,0,ROUND(IF(VLOOKUP(DH26,$AQ$4:$AT$27,$AZ$30,FALSE)&lt;&gt;0,DP26/VLOOKUP(DH26,$AQ$4:$AT$27,$AZ$30,FALSE)*100,""),6))</f>
        <v>0.79675799999999997</v>
      </c>
      <c r="DV26" s="545">
        <f>+DV25+1</f>
        <v>23</v>
      </c>
      <c r="DW26" s="739">
        <f>GG26</f>
        <v>23</v>
      </c>
      <c r="DX26" s="655" t="s">
        <v>412</v>
      </c>
      <c r="DY26" s="657">
        <f>VLOOKUP(DW26,$J$4:$Q$27,$DY$33,FALSE)</f>
        <v>1.4088990232580603E-3</v>
      </c>
      <c r="DZ26" s="646">
        <f>DY26*$DZ$28</f>
        <v>5686.3269272150419</v>
      </c>
      <c r="EA26" s="709">
        <f>IF($AT26=0,0,ROUND(IF(VLOOKUP(DW26,$AQ$4:$AT$27,$AZ$30,FALSE)&lt;&gt;0,DZ26/VLOOKUP(DW26,$AQ$4:$AT$27,$AZ$30,FALSE)*100,""),6))</f>
        <v>0.93083000000000005</v>
      </c>
      <c r="EM26" s="545">
        <f>+EM25+1</f>
        <v>23</v>
      </c>
      <c r="EN26" s="739">
        <f>FR26</f>
        <v>23</v>
      </c>
      <c r="EO26" s="655" t="s">
        <v>412</v>
      </c>
      <c r="EP26" s="657">
        <f>VLOOKUP(EN26,$V$4:$Y$27,$EP$33,FALSE)</f>
        <v>9.135163291939417E-4</v>
      </c>
      <c r="EQ26" s="646">
        <f>EP26*$EQ$28</f>
        <v>7188.2476364680961</v>
      </c>
      <c r="ER26" s="657">
        <f>VLOOKUP(EN26,$CI$4:$CP$27,$ER$33,FALSE)</f>
        <v>1.1445430846594572E-3</v>
      </c>
      <c r="ES26" s="646">
        <f>ER26*$ES$28</f>
        <v>1162.5422649772595</v>
      </c>
      <c r="ET26" s="657">
        <f>VLOOKUP(EN26,$J$4:$M$27,$ET$33,FALSE)</f>
        <v>2.7811067319323388E-4</v>
      </c>
      <c r="EU26" s="646">
        <f>ET26*$EU$28</f>
        <v>1195.8164744105975</v>
      </c>
      <c r="EV26" s="646">
        <f>EQ26+ES26+EU26</f>
        <v>9546.606375855954</v>
      </c>
      <c r="EW26" s="657">
        <f>EV26/$EV$28</f>
        <v>7.2409008316029315E-4</v>
      </c>
      <c r="EX26" s="709">
        <f>IF($AT26=0,0,ROUND(IF(VLOOKUP(EN26,$AQ$4:$AT$27,$AZ$30,FALSE)&lt;&gt;0,EV26/VLOOKUP(EN26,$AQ$4:$AT$27,$AZ$30,FALSE)*100,""),6))</f>
        <v>1.562743</v>
      </c>
      <c r="FH26" s="545">
        <f>+FH25+1</f>
        <v>23</v>
      </c>
      <c r="FI26" s="669">
        <f>FR26</f>
        <v>23</v>
      </c>
      <c r="FJ26" s="655" t="s">
        <v>412</v>
      </c>
      <c r="FK26" s="657">
        <f>Y26</f>
        <v>9.135163291939417E-4</v>
      </c>
      <c r="FL26" s="646">
        <f>Y26*$FL$28</f>
        <v>18031.722297062861</v>
      </c>
      <c r="FM26" s="709">
        <f>IF($AT26=0,0,ROUND(IF(VLOOKUP(FI26,$AQ$4:$AT$27,$AZ$30,FALSE)&lt;&gt;0,FL26/VLOOKUP(FI26,$AQ$4:$AT$27,$AZ$30,FALSE)*100,""),6))</f>
        <v>2.951724</v>
      </c>
      <c r="FQ26" s="543">
        <v>23</v>
      </c>
      <c r="FR26" s="669">
        <v>23</v>
      </c>
      <c r="FS26" s="655" t="s">
        <v>412</v>
      </c>
      <c r="FT26" s="646">
        <f>VLOOKUP(FR26,$AQ$4:$AZ$27,$FT$33,FALSE)</f>
        <v>37862.852678232019</v>
      </c>
      <c r="FU26" s="646">
        <f>VLOOKUP(FR26,$BL$4:$BS$86,$FU$33,FALSE)</f>
        <v>11285.556313309649</v>
      </c>
      <c r="FV26" s="646">
        <f>VLOOKUP(FR26,$CI$4:$CQ$27,$FV$33,FALSE)</f>
        <v>28697.949088769394</v>
      </c>
      <c r="FW26" s="646">
        <f>VLOOKUP(FR26,$DH$4:$DP$27,$FW$33,FALSE)</f>
        <v>4867.2960412916545</v>
      </c>
      <c r="FX26" s="646">
        <f>VLOOKUP(FR26,$DW$4:$EA$27,$FX$33,FALSE)</f>
        <v>5686.3269272150419</v>
      </c>
      <c r="FY26" s="646">
        <f>VLOOKUP(FR26,$EN$4:$EV$28,$FY$34,FALSE)</f>
        <v>9546.606375855954</v>
      </c>
      <c r="FZ26" s="646">
        <f>VLOOKUP(FR26,$FI$4:$FL$27,$FZ$33,FALSE)</f>
        <v>18031.722297062861</v>
      </c>
      <c r="GA26" s="646">
        <f>SUM(FT26:FZ26)</f>
        <v>115978.30972173659</v>
      </c>
      <c r="GB26" s="746">
        <f>IF($AT26=0,0,ROUND(IF(VLOOKUP(FR26,$AQ$4:$AT$27,$AZ$30,FALSE)&lt;&gt;0,GA26/VLOOKUP(FR26,$AQ$4:$AT$27,$AZ$30,FALSE)*100,""),6))</f>
        <v>18.985206999999999</v>
      </c>
      <c r="GF26" s="545">
        <f>+GF25+1</f>
        <v>23</v>
      </c>
      <c r="GG26" s="669">
        <f>FR26</f>
        <v>23</v>
      </c>
      <c r="GH26" s="655" t="s">
        <v>412</v>
      </c>
      <c r="GI26" s="709">
        <f>VLOOKUP(GG26,$AQ$4:$AZ$27,$GI$31,FALSE)</f>
        <v>6.1980040000000001</v>
      </c>
      <c r="GJ26" s="709">
        <f>VLOOKUP(GG26,$BL$4:$BS$27,$GJ$31,FALSE)</f>
        <v>1.847402</v>
      </c>
      <c r="GK26" s="709">
        <f>VLOOKUP(GG26,$CI$4:$CQ$27,$GK$31,FALSE)</f>
        <v>4.6977450000000003</v>
      </c>
      <c r="GL26" s="709">
        <f>VLOOKUP(GG26,$DH$4:$DR$27,$GL$31,FALSE)</f>
        <v>0.79675799999999997</v>
      </c>
      <c r="GM26" s="709">
        <f>VLOOKUP(GG26,$DW$4:$EA$27,$GM$31,FALSE)</f>
        <v>0.93083000000000005</v>
      </c>
      <c r="GN26" s="709">
        <f>VLOOKUP(GG26,$EN$4:$EX$28,$GN$31,FALSE)</f>
        <v>1.562743</v>
      </c>
      <c r="GO26" s="709">
        <f>VLOOKUP(GG26,$FI$4:$FM$27,$GO$31,FALSE)</f>
        <v>2.951724</v>
      </c>
      <c r="GP26" s="709">
        <f>VLOOKUP(GG26,$FR$4:$GB$27,$GP$31,FALSE)</f>
        <v>18.985206999999999</v>
      </c>
      <c r="GQ26" s="656">
        <f>L26</f>
        <v>610887.79078922863</v>
      </c>
      <c r="GR26" s="530"/>
      <c r="GU26" s="543">
        <f>+GU25+1</f>
        <v>23</v>
      </c>
      <c r="GV26" s="669">
        <f>FR26</f>
        <v>23</v>
      </c>
      <c r="GW26" s="655" t="s">
        <v>412</v>
      </c>
      <c r="GX26" s="658" t="s">
        <v>379</v>
      </c>
      <c r="GY26" s="646">
        <f>GA26</f>
        <v>115978.30972173659</v>
      </c>
      <c r="GZ26" s="656">
        <f>VLOOKUP(GV26,$GG$4:$GQ$27,$GZ$34,FALSE)</f>
        <v>610887.79078922863</v>
      </c>
      <c r="HA26" s="709">
        <f>IF(GW26="Specialty Containers",$HA$31,ROUND(IF(GZ26&lt;&gt;0,GY26/GZ26*100,0),6))</f>
        <v>18.985206999999999</v>
      </c>
      <c r="HB26" s="646">
        <f>ROUND(HA26,10)*GZ26/100</f>
        <v>115978.31161906198</v>
      </c>
      <c r="HC26" s="749">
        <f>HB26-GY26</f>
        <v>1.8973253900185227E-3</v>
      </c>
      <c r="HD26" s="549"/>
      <c r="HG26" s="549"/>
      <c r="HH26" s="549"/>
      <c r="HI26" s="549"/>
      <c r="HJ26" s="549"/>
      <c r="HK26" s="549"/>
      <c r="HL26" s="549"/>
      <c r="HM26" s="549"/>
      <c r="HP26" s="545">
        <f>+HP25+1</f>
        <v>23</v>
      </c>
      <c r="HQ26" s="761">
        <f>FR26</f>
        <v>23</v>
      </c>
      <c r="HR26" s="655" t="s">
        <v>412</v>
      </c>
      <c r="HS26" s="656">
        <f>L26</f>
        <v>610887.79078922863</v>
      </c>
      <c r="HT26" s="756">
        <f>HA26</f>
        <v>18.985206999999999</v>
      </c>
      <c r="HU26" s="756">
        <v>16.893163000000001</v>
      </c>
      <c r="HV26" s="647">
        <f>IF(HU26&lt;&gt;0,HT26/HU26-1,"")</f>
        <v>0.12383968591317074</v>
      </c>
      <c r="HW26" s="756">
        <f>HT26-HU26</f>
        <v>2.0920439999999978</v>
      </c>
      <c r="HX26" s="648">
        <v>25</v>
      </c>
      <c r="IO26" s="545">
        <v>23</v>
      </c>
      <c r="IP26" s="761">
        <v>23</v>
      </c>
      <c r="IQ26" s="655" t="s">
        <v>412</v>
      </c>
      <c r="IR26" s="769">
        <f>GY26</f>
        <v>115978.30972173659</v>
      </c>
      <c r="IS26" s="770">
        <f>GZ26</f>
        <v>610887.79078922863</v>
      </c>
      <c r="IT26" s="771">
        <f>HA26</f>
        <v>18.985206999999999</v>
      </c>
      <c r="IU26" s="656">
        <f>IS26*$IJ$4/(1-$IK$4)</f>
        <v>89294.000220966816</v>
      </c>
      <c r="IV26" s="656">
        <f>IS26-IU26</f>
        <v>521593.79056826181</v>
      </c>
      <c r="IW26" s="769">
        <f>IU26*$IH$4</f>
        <v>1339.4100033145021</v>
      </c>
      <c r="IX26" s="769">
        <f>IR26-IW26</f>
        <v>114638.89971842208</v>
      </c>
      <c r="IY26" s="550">
        <f>IX26/IS26*100</f>
        <v>18.765950383509193</v>
      </c>
      <c r="IZ26" s="550">
        <f>IY26+1.5</f>
        <v>20.265950383509193</v>
      </c>
      <c r="JA26" s="769">
        <f>(IY26*IV26+IZ26*IU26)/100</f>
        <v>115978.30972173659</v>
      </c>
      <c r="JB26" s="746">
        <f>IT26-IY26</f>
        <v>0.21925661649080652</v>
      </c>
      <c r="JF26" s="545">
        <f>+JF25+1</f>
        <v>23</v>
      </c>
      <c r="JG26" s="761">
        <f>FR26</f>
        <v>23</v>
      </c>
      <c r="JH26" s="655" t="s">
        <v>412</v>
      </c>
      <c r="JI26" s="656">
        <f>L26</f>
        <v>610887.79078922863</v>
      </c>
      <c r="JJ26" s="756">
        <f>IY26</f>
        <v>18.765950383509193</v>
      </c>
      <c r="JK26" s="756">
        <v>16.670930182281545</v>
      </c>
      <c r="JL26" s="647">
        <f>IF(JK26&lt;&gt;0,JJ26/JK26-1,"")</f>
        <v>0.12566906455251736</v>
      </c>
      <c r="JM26" s="756">
        <f>JJ26-JK26</f>
        <v>2.0950202012276478</v>
      </c>
      <c r="JN26" s="648">
        <v>25</v>
      </c>
      <c r="JS26" s="756">
        <v>18.824630250058792</v>
      </c>
      <c r="JT26" s="756">
        <f>JJ26-JS26</f>
        <v>-5.867986654959978E-2</v>
      </c>
      <c r="JU26" s="1009">
        <v>554610</v>
      </c>
      <c r="JV26" s="1009">
        <f>JU26-JI26</f>
        <v>-56277.790789228631</v>
      </c>
      <c r="JW26" s="1069">
        <f>JT26/JS26</f>
        <v>-3.1171856110914324E-3</v>
      </c>
      <c r="JX26" s="997">
        <v>104403.28182985107</v>
      </c>
      <c r="JY26" s="997">
        <f>JI26*JJ26/100</f>
        <v>114638.89971842209</v>
      </c>
      <c r="JZ26" s="516"/>
      <c r="KA26" s="516"/>
      <c r="KB26" s="516"/>
      <c r="KC26" s="516"/>
      <c r="KE26" s="516"/>
      <c r="KF26" s="516"/>
    </row>
    <row r="27" spans="2:292" ht="17.25" thickBot="1" x14ac:dyDescent="0.35">
      <c r="I27" s="297">
        <v>24</v>
      </c>
      <c r="J27" s="664">
        <f>FR27</f>
        <v>24</v>
      </c>
      <c r="K27" s="665" t="s">
        <v>413</v>
      </c>
      <c r="L27" s="992"/>
      <c r="M27" s="667">
        <f>L27/$L$28</f>
        <v>0</v>
      </c>
      <c r="N27" s="666">
        <v>546</v>
      </c>
      <c r="O27" s="666">
        <f>IFERROR(L27/N27,0)</f>
        <v>0</v>
      </c>
      <c r="P27" s="667">
        <f>O27/$O$28</f>
        <v>0</v>
      </c>
      <c r="Q27" s="668" t="s">
        <v>384</v>
      </c>
      <c r="U27" s="580">
        <f>+U26+1</f>
        <v>24</v>
      </c>
      <c r="V27" s="672">
        <f>FR27</f>
        <v>24</v>
      </c>
      <c r="W27" s="665" t="s">
        <v>413</v>
      </c>
      <c r="X27" s="673">
        <f>SUM(FT27:FX27)</f>
        <v>0</v>
      </c>
      <c r="Y27" s="667">
        <f>SUM(FT27:FX27)/SUM($FT$28:$FX$28)</f>
        <v>0</v>
      </c>
      <c r="AC27" s="570">
        <f>+AC26+1</f>
        <v>24</v>
      </c>
      <c r="AD27" s="684">
        <v>24</v>
      </c>
      <c r="AE27" s="685" t="s">
        <v>413</v>
      </c>
      <c r="AF27" s="686">
        <v>5.4</v>
      </c>
      <c r="AP27" s="580">
        <f>+AP26+1</f>
        <v>24</v>
      </c>
      <c r="AQ27" s="701">
        <f>FR27</f>
        <v>24</v>
      </c>
      <c r="AR27" s="665" t="s">
        <v>413</v>
      </c>
      <c r="AS27" s="665">
        <f>VLOOKUP(AQ27,$AD$4:$AF$27,$AS$30,FALSE)</f>
        <v>5.4</v>
      </c>
      <c r="AT27" s="702">
        <f>L27</f>
        <v>0</v>
      </c>
      <c r="AU27" s="702">
        <f>AT27*AS27/3600</f>
        <v>0</v>
      </c>
      <c r="AV27" s="703">
        <f>AU27*$AL$5/$AU$28</f>
        <v>0</v>
      </c>
      <c r="AW27" s="704">
        <f>$AL$6</f>
        <v>21.592508896755888</v>
      </c>
      <c r="AX27" s="673">
        <f>AV27*AW27</f>
        <v>0</v>
      </c>
      <c r="AY27" s="554">
        <f>AX27/$AX$28</f>
        <v>0</v>
      </c>
      <c r="AZ27" s="581">
        <f>IF($AT27=0,0,ROUND(IF(VLOOKUP(AQ27,$AQ$4:$AT$27,$AZ$30,FALSE)&lt;&gt;0,AX27/VLOOKUP(AQ27,$AQ$4:$AT$27,$AZ$30,FALSE)*100,""),6))</f>
        <v>0</v>
      </c>
      <c r="BD27" s="15"/>
      <c r="BE27" s="15"/>
      <c r="BF27" s="15"/>
      <c r="BG27" s="15"/>
      <c r="BK27" s="297">
        <f>+BK26+1</f>
        <v>24</v>
      </c>
      <c r="BL27" s="668">
        <f>FR27</f>
        <v>24</v>
      </c>
      <c r="BM27" s="665" t="s">
        <v>413</v>
      </c>
      <c r="BN27" s="667">
        <f>VLOOKUP(BL27,$AQ$4:$AY$28,$BN$33,FALSE)</f>
        <v>0</v>
      </c>
      <c r="BO27" s="673">
        <f>BN27*$BO$28</f>
        <v>0</v>
      </c>
      <c r="BP27" s="667">
        <f>VLOOKUP(BL27,$J$4:$M$27,$BP$33,FALSE)</f>
        <v>0</v>
      </c>
      <c r="BQ27" s="673">
        <f>BP27*$BQ$28</f>
        <v>0</v>
      </c>
      <c r="BR27" s="712">
        <f>BQ27+BO27</f>
        <v>0</v>
      </c>
      <c r="BS27" s="713">
        <f>IF($AT27=0,0,ROUND(IF(VLOOKUP(BL27,$AQ$4:$AT$27,$AZ$30,FALSE)&lt;&gt;0,BR27/VLOOKUP(BL27,$AQ$4:$AT$27,$AZ$30,FALSE)*100,""),6))</f>
        <v>0</v>
      </c>
      <c r="BV27" s="15"/>
      <c r="BW27" s="190"/>
      <c r="BX27" s="190"/>
      <c r="BY27" s="190"/>
      <c r="BZ27" s="190"/>
      <c r="CA27" s="190"/>
      <c r="CB27" s="190"/>
      <c r="CC27" s="190"/>
      <c r="CD27" s="190"/>
      <c r="CH27" s="297">
        <f>+CH26+1</f>
        <v>24</v>
      </c>
      <c r="CI27" s="725">
        <f>FR27</f>
        <v>24</v>
      </c>
      <c r="CJ27" s="665" t="s">
        <v>413</v>
      </c>
      <c r="CK27" s="726">
        <f>VLOOKUP(CI27,$J$4:$M$27,$CK$32,FALSE)</f>
        <v>0</v>
      </c>
      <c r="CL27" s="727">
        <f>CK27*$CL$28</f>
        <v>0</v>
      </c>
      <c r="CM27" s="726">
        <f>VLOOKUP(CI27,$J$4:$P$27,$CM$32,FALSE)</f>
        <v>0</v>
      </c>
      <c r="CN27" s="727">
        <f>CM27*$CN$28</f>
        <v>0</v>
      </c>
      <c r="CO27" s="727">
        <f>CN27+CL27</f>
        <v>0</v>
      </c>
      <c r="CP27" s="726">
        <f>CO27/$CO$28</f>
        <v>0</v>
      </c>
      <c r="CQ27" s="728">
        <f>IF($AT27=0,0,ROUND(IF(VLOOKUP(CI27,$AQ$4:$AT$27,$AZ$30,FALSE)&lt;&gt;0,CO27/VLOOKUP(CI27,$AQ$4:$AT$27,$AZ$30,FALSE)*100,""),6))</f>
        <v>0</v>
      </c>
      <c r="DD27" s="15"/>
      <c r="DG27" s="580">
        <f>+DG26+1</f>
        <v>24</v>
      </c>
      <c r="DH27" s="740">
        <f>FR27</f>
        <v>24</v>
      </c>
      <c r="DI27" s="665" t="s">
        <v>413</v>
      </c>
      <c r="DJ27" s="726">
        <f>VLOOKUP(DH27,$CI$4:$CP$27,$DJ$33,FALSE)</f>
        <v>0</v>
      </c>
      <c r="DK27" s="727">
        <f>DJ27*$DK$28</f>
        <v>0</v>
      </c>
      <c r="DL27" s="726">
        <f>VLOOKUP(DH27,$J$4:$Q$27,$DL$33,FALSE)</f>
        <v>0</v>
      </c>
      <c r="DM27" s="727">
        <f>DL27*$DM$28</f>
        <v>0</v>
      </c>
      <c r="DN27" s="726">
        <f>VLOOKUP(DH27,$J$4:$Q$27,$DN$33,FALSE)</f>
        <v>0</v>
      </c>
      <c r="DO27" s="727">
        <f>DN27*$DO$28</f>
        <v>0</v>
      </c>
      <c r="DP27" s="727">
        <f>DK27+DM27+DO27</f>
        <v>0</v>
      </c>
      <c r="DQ27" s="726">
        <f>DP27/$DP$28</f>
        <v>0</v>
      </c>
      <c r="DR27" s="728">
        <f>IF($AT27=0,0,ROUND(IF(VLOOKUP(DH27,$AQ$4:$AT$27,$AZ$30,FALSE)&lt;&gt;0,DP27/VLOOKUP(DH27,$AQ$4:$AT$27,$AZ$30,FALSE)*100,""),6))</f>
        <v>0</v>
      </c>
      <c r="DV27" s="580">
        <f>+DV26+1</f>
        <v>24</v>
      </c>
      <c r="DW27" s="740">
        <f>GG27</f>
        <v>24</v>
      </c>
      <c r="DX27" s="665" t="s">
        <v>413</v>
      </c>
      <c r="DY27" s="726">
        <f>VLOOKUP(DW27,$J$4:$Q$27,$DY$33,FALSE)</f>
        <v>0</v>
      </c>
      <c r="DZ27" s="727">
        <f>DY27*$DZ$28</f>
        <v>0</v>
      </c>
      <c r="EA27" s="728">
        <f>IF($AT27=0,0,ROUND(IF(VLOOKUP(DW27,$AQ$4:$AT$27,$AZ$30,FALSE)&lt;&gt;0,DZ27/VLOOKUP(DW27,$AQ$4:$AT$27,$AZ$30,FALSE)*100,""),6))</f>
        <v>0</v>
      </c>
      <c r="EM27" s="580">
        <f>+EM26+1</f>
        <v>24</v>
      </c>
      <c r="EN27" s="740">
        <f>FR27</f>
        <v>24</v>
      </c>
      <c r="EO27" s="665" t="s">
        <v>413</v>
      </c>
      <c r="EP27" s="726">
        <f>VLOOKUP(EN27,$V$4:$Y$27,$EP$33,FALSE)</f>
        <v>0</v>
      </c>
      <c r="EQ27" s="727">
        <f>EP27*$EQ$28</f>
        <v>0</v>
      </c>
      <c r="ER27" s="726">
        <f>VLOOKUP(EN27,$CI$4:$CP$27,$ER$33,FALSE)</f>
        <v>0</v>
      </c>
      <c r="ES27" s="727">
        <f>ER27*$ES$28</f>
        <v>0</v>
      </c>
      <c r="ET27" s="726">
        <f>VLOOKUP(EN27,$J$4:$M$27,$ET$33,FALSE)</f>
        <v>0</v>
      </c>
      <c r="EU27" s="727">
        <f>ET27*$EU$28</f>
        <v>0</v>
      </c>
      <c r="EV27" s="727">
        <f>EQ27+ES27+EU27</f>
        <v>0</v>
      </c>
      <c r="EW27" s="726">
        <f>EV27/$EV$28</f>
        <v>0</v>
      </c>
      <c r="EX27" s="728">
        <f>IF($AT27=0,0,ROUND(IF(VLOOKUP(EN27,$AQ$4:$AT$27,$AZ$30,FALSE)&lt;&gt;0,EV27/VLOOKUP(EN27,$AQ$4:$AT$27,$AZ$30,FALSE)*100,""),6))</f>
        <v>0</v>
      </c>
      <c r="FH27" s="580">
        <f>+FH26+1</f>
        <v>24</v>
      </c>
      <c r="FI27" s="672">
        <f>FR27</f>
        <v>24</v>
      </c>
      <c r="FJ27" s="665" t="s">
        <v>413</v>
      </c>
      <c r="FK27" s="726">
        <f>Y27</f>
        <v>0</v>
      </c>
      <c r="FL27" s="727">
        <f>Y27*$FL$28</f>
        <v>0</v>
      </c>
      <c r="FM27" s="728">
        <f>IF($AT27=0,0,ROUND(IF(VLOOKUP(FI27,$AQ$4:$AT$27,$AZ$30,FALSE)&lt;&gt;0,FL27/VLOOKUP(FI27,$AQ$4:$AT$27,$AZ$30,FALSE)*100,""),6))</f>
        <v>0</v>
      </c>
      <c r="FQ27" s="297">
        <v>24</v>
      </c>
      <c r="FR27" s="672">
        <v>24</v>
      </c>
      <c r="FS27" s="665" t="s">
        <v>413</v>
      </c>
      <c r="FT27" s="727">
        <f>VLOOKUP(FR27,$AQ$4:$AZ$27,$FT$33,FALSE)</f>
        <v>0</v>
      </c>
      <c r="FU27" s="727">
        <f>VLOOKUP(FR27,$BL$4:$BS$86,$FU$33,FALSE)</f>
        <v>0</v>
      </c>
      <c r="FV27" s="727">
        <f>VLOOKUP(FR27,$CI$4:$CQ$27,$FV$33,FALSE)</f>
        <v>0</v>
      </c>
      <c r="FW27" s="727">
        <f>VLOOKUP(FR27,$DH$4:$DP$27,$FW$33,FALSE)</f>
        <v>0</v>
      </c>
      <c r="FX27" s="727">
        <f>VLOOKUP(FR27,$DW$4:$EA$27,$FX$33,FALSE)</f>
        <v>0</v>
      </c>
      <c r="FY27" s="727">
        <f>VLOOKUP(FR27,$EN$4:$EV$28,$FY$34,FALSE)</f>
        <v>0</v>
      </c>
      <c r="FZ27" s="727">
        <f>VLOOKUP(FR27,$FI$4:$FL$27,$FZ$33,FALSE)</f>
        <v>0</v>
      </c>
      <c r="GA27" s="727">
        <f>SUM(FT27:FZ27)</f>
        <v>0</v>
      </c>
      <c r="GB27" s="748">
        <f>IF($AT27=0,0,ROUND(IF(VLOOKUP(FR27,$AQ$4:$AT$27,$AZ$30,FALSE)&lt;&gt;0,GA27/VLOOKUP(FR27,$AQ$4:$AT$27,$AZ$30,FALSE)*100,""),6))</f>
        <v>0</v>
      </c>
      <c r="GF27" s="580">
        <f>+GF26+1</f>
        <v>24</v>
      </c>
      <c r="GG27" s="672">
        <f>FR27</f>
        <v>24</v>
      </c>
      <c r="GH27" s="665" t="s">
        <v>413</v>
      </c>
      <c r="GI27" s="728">
        <f>VLOOKUP(GG27,$AQ$4:$AZ$27,$GI$31,FALSE)</f>
        <v>0</v>
      </c>
      <c r="GJ27" s="728">
        <f>VLOOKUP(GG27,$BL$4:$BS$27,$GJ$31,FALSE)</f>
        <v>0</v>
      </c>
      <c r="GK27" s="728">
        <f>VLOOKUP(GG27,$CI$4:$CQ$27,$GK$31,FALSE)</f>
        <v>0</v>
      </c>
      <c r="GL27" s="728">
        <f>VLOOKUP(GG27,$DH$4:$DR$27,$GL$31,FALSE)</f>
        <v>0</v>
      </c>
      <c r="GM27" s="728">
        <f>VLOOKUP(GG27,$DW$4:$EA$27,$GM$31,FALSE)</f>
        <v>0</v>
      </c>
      <c r="GN27" s="728">
        <f>VLOOKUP(GG27,$EN$4:$EX$28,$GN$31,FALSE)</f>
        <v>0</v>
      </c>
      <c r="GO27" s="728">
        <f>VLOOKUP(GG27,$FI$4:$FM$27,$GO$31,FALSE)</f>
        <v>0</v>
      </c>
      <c r="GP27" s="728">
        <f>VLOOKUP(GG27,$FR$4:$GB$27,$GP$31,FALSE)</f>
        <v>0</v>
      </c>
      <c r="GQ27" s="666">
        <f>L27</f>
        <v>0</v>
      </c>
      <c r="GR27" s="530"/>
      <c r="GU27" s="297">
        <f>+GU26+1</f>
        <v>24</v>
      </c>
      <c r="GV27" s="672">
        <f>FR27</f>
        <v>24</v>
      </c>
      <c r="GW27" s="665" t="s">
        <v>413</v>
      </c>
      <c r="GX27" s="668" t="s">
        <v>384</v>
      </c>
      <c r="GY27" s="673">
        <f>GA27</f>
        <v>0</v>
      </c>
      <c r="GZ27" s="666">
        <f>VLOOKUP(GV27,$GG$4:$GQ$27,$GZ$34,FALSE)</f>
        <v>0</v>
      </c>
      <c r="HA27" s="728">
        <f>IF(GW27="Specialty Containers",$HA$31,ROUND(IF(GZ27&lt;&gt;0,GY27/GZ27*100,0),6))</f>
        <v>0</v>
      </c>
      <c r="HB27" s="727">
        <f>ROUND(HA27,10)*GZ27/100</f>
        <v>0</v>
      </c>
      <c r="HC27" s="751">
        <f>HB27-GY27</f>
        <v>0</v>
      </c>
      <c r="HD27" s="549"/>
      <c r="HG27" s="549"/>
      <c r="HH27" s="549"/>
      <c r="HI27" s="549"/>
      <c r="HJ27" s="549"/>
      <c r="HK27" s="549"/>
      <c r="HL27" s="549"/>
      <c r="HM27" s="549"/>
      <c r="HP27" s="580">
        <f>+HP26+1</f>
        <v>24</v>
      </c>
      <c r="HQ27" s="763">
        <f>FR27</f>
        <v>24</v>
      </c>
      <c r="HR27" s="665" t="s">
        <v>413</v>
      </c>
      <c r="HS27" s="666">
        <f>L27</f>
        <v>0</v>
      </c>
      <c r="HT27" s="758">
        <f>HA27</f>
        <v>0</v>
      </c>
      <c r="HU27" s="758">
        <v>8.7916229999999995</v>
      </c>
      <c r="HV27" s="759">
        <f>IF(HU27&lt;&gt;0,HT27/HU27-1,"")</f>
        <v>-1</v>
      </c>
      <c r="HW27" s="758">
        <f>HT27-HU27</f>
        <v>-8.7916229999999995</v>
      </c>
      <c r="HX27" s="760">
        <v>10</v>
      </c>
      <c r="IO27" s="580">
        <v>24</v>
      </c>
      <c r="IP27" s="763">
        <v>24</v>
      </c>
      <c r="IQ27" s="665" t="s">
        <v>413</v>
      </c>
      <c r="IR27" s="775">
        <f>GY27</f>
        <v>0</v>
      </c>
      <c r="IS27" s="776">
        <f>GZ27</f>
        <v>0</v>
      </c>
      <c r="IT27" s="777">
        <f>HA27</f>
        <v>0</v>
      </c>
      <c r="IU27" s="992">
        <v>0</v>
      </c>
      <c r="IV27" s="666">
        <f>IS27-IU27</f>
        <v>0</v>
      </c>
      <c r="IW27" s="775">
        <f>IU27*$IH$4</f>
        <v>0</v>
      </c>
      <c r="IX27" s="775">
        <f>IR27-IW27</f>
        <v>0</v>
      </c>
      <c r="IY27" s="582">
        <f>IT27</f>
        <v>0</v>
      </c>
      <c r="IZ27" s="583">
        <f>IY27</f>
        <v>0</v>
      </c>
      <c r="JA27" s="775">
        <f>(IY27*IV27+IZ27*IU27)/100</f>
        <v>0</v>
      </c>
      <c r="JB27" s="779">
        <f>IT27-IY27</f>
        <v>0</v>
      </c>
      <c r="JF27" s="551">
        <f>+JF26+1</f>
        <v>24</v>
      </c>
      <c r="JG27" s="762">
        <f>FR27</f>
        <v>24</v>
      </c>
      <c r="JH27" s="660" t="s">
        <v>413</v>
      </c>
      <c r="JI27" s="661">
        <f>L27</f>
        <v>0</v>
      </c>
      <c r="JJ27" s="757">
        <f>IY27</f>
        <v>0</v>
      </c>
      <c r="JK27" s="757">
        <v>8.7916229999999995</v>
      </c>
      <c r="JL27" s="651">
        <f>IF(JK27&lt;&gt;0,JJ27/JK27-1,"")</f>
        <v>-1</v>
      </c>
      <c r="JM27" s="757">
        <f>JJ27-JK27</f>
        <v>-8.7916229999999995</v>
      </c>
      <c r="JN27" s="652">
        <v>10</v>
      </c>
      <c r="JS27" s="757">
        <v>0</v>
      </c>
      <c r="JT27" s="757">
        <f>JJ27-JS27</f>
        <v>0</v>
      </c>
      <c r="JU27" s="1010">
        <v>0</v>
      </c>
      <c r="JV27" s="1010">
        <f>JU27-JI27</f>
        <v>0</v>
      </c>
      <c r="JW27" s="1069"/>
      <c r="JX27" s="997">
        <v>0</v>
      </c>
      <c r="JY27" s="997">
        <f>JI27*JJ27/100</f>
        <v>0</v>
      </c>
      <c r="JZ27" s="516"/>
      <c r="KA27" s="516"/>
      <c r="KB27" s="516"/>
      <c r="KC27" s="516"/>
      <c r="KE27" s="516"/>
      <c r="KF27" s="516"/>
    </row>
    <row r="28" spans="2:292" ht="17.25" thickBot="1" x14ac:dyDescent="0.35">
      <c r="F28" s="15"/>
      <c r="G28" s="584"/>
      <c r="H28" s="15"/>
      <c r="I28" s="585">
        <v>25</v>
      </c>
      <c r="J28" s="586"/>
      <c r="K28" s="566" t="s">
        <v>71</v>
      </c>
      <c r="L28" s="1007">
        <f>SUM(L4:L27)</f>
        <v>2196563633.3733158</v>
      </c>
      <c r="M28" s="784">
        <f>SUM(M4:M27)</f>
        <v>1.0000000000000002</v>
      </c>
      <c r="N28" s="587">
        <f>SUM(N4:N27)</f>
        <v>17767</v>
      </c>
      <c r="O28" s="587">
        <f>SUM(O4:O27)</f>
        <v>1784330.5193498842</v>
      </c>
      <c r="P28" s="784">
        <f>SUM(P4:P27)</f>
        <v>1</v>
      </c>
      <c r="Q28" s="588"/>
      <c r="R28" s="15"/>
      <c r="S28" s="584"/>
      <c r="T28" s="15"/>
      <c r="U28" s="585">
        <f>+U27+1</f>
        <v>25</v>
      </c>
      <c r="V28" s="674"/>
      <c r="W28" s="675" t="s">
        <v>71</v>
      </c>
      <c r="X28" s="785">
        <f>SUM(X4:X27)</f>
        <v>96768911.757515237</v>
      </c>
      <c r="Y28" s="784">
        <f>SUM(Y4:Y27)</f>
        <v>1.0000000000000002</v>
      </c>
      <c r="Z28" s="15"/>
      <c r="AA28" s="584"/>
      <c r="AB28" s="15"/>
      <c r="AG28" s="15"/>
      <c r="AH28" s="584"/>
      <c r="AI28" s="15"/>
      <c r="AJ28" s="15"/>
      <c r="AK28" s="15"/>
      <c r="AL28" s="15"/>
      <c r="AP28" s="585">
        <f>+AP27+1</f>
        <v>25</v>
      </c>
      <c r="AQ28" s="590"/>
      <c r="AR28" s="591" t="s">
        <v>71</v>
      </c>
      <c r="AS28" s="592">
        <f>AL7</f>
        <v>3.0963137867273676</v>
      </c>
      <c r="AT28" s="587">
        <f>SUM(AT4:AT27)</f>
        <v>2196563633.3733158</v>
      </c>
      <c r="AU28" s="587">
        <f>SUM(AU4:AU27)</f>
        <v>1889236.1837327101</v>
      </c>
      <c r="AV28" s="587">
        <f>SUM(AV4:AV27)</f>
        <v>1950309.1449613972</v>
      </c>
      <c r="AW28" s="593">
        <f>SUMPRODUCT(AW4:AW27,AT4:AT27)/AT28</f>
        <v>21.592508896755888</v>
      </c>
      <c r="AX28" s="594">
        <f>SUM(AX4:AX27)</f>
        <v>42112067.564003341</v>
      </c>
      <c r="AY28" s="595">
        <f>AX28/$AX$28</f>
        <v>1</v>
      </c>
      <c r="AZ28" s="596">
        <f>AX28*100/$L$28</f>
        <v>1.9171794945603657</v>
      </c>
      <c r="BA28" s="15"/>
      <c r="BB28" s="584"/>
      <c r="BC28" s="15"/>
      <c r="BD28" s="530"/>
      <c r="BE28" s="530"/>
      <c r="BF28" s="530"/>
      <c r="BG28" s="530"/>
      <c r="BH28" s="15"/>
      <c r="BI28" s="584"/>
      <c r="BJ28" s="15"/>
      <c r="BK28" s="562">
        <f>+BK27+1</f>
        <v>25</v>
      </c>
      <c r="BL28" s="597"/>
      <c r="BM28" s="598" t="s">
        <v>71</v>
      </c>
      <c r="BN28" s="599">
        <f>SUM(BN4:BN27)</f>
        <v>1</v>
      </c>
      <c r="BO28" s="564">
        <f>BG4</f>
        <v>9586712.8881295025</v>
      </c>
      <c r="BP28" s="599">
        <f>SUM(BP4:BP27)</f>
        <v>1.0000000000000002</v>
      </c>
      <c r="BQ28" s="564">
        <f>BG5</f>
        <v>9586712.8881295025</v>
      </c>
      <c r="BR28" s="600">
        <f>C6</f>
        <v>19173425.776259005</v>
      </c>
      <c r="BS28" s="601">
        <f>BR28*100/$L$28</f>
        <v>0.87288278313221057</v>
      </c>
      <c r="BT28" s="15"/>
      <c r="BU28" s="584"/>
      <c r="BV28" s="15"/>
      <c r="BW28" s="190"/>
      <c r="BX28" s="190"/>
      <c r="BY28" s="190"/>
      <c r="BZ28" s="190"/>
      <c r="CA28" s="190"/>
      <c r="CB28" s="190"/>
      <c r="CC28" s="190"/>
      <c r="CD28" s="190"/>
      <c r="CE28" s="15"/>
      <c r="CF28" s="584"/>
      <c r="CH28" s="562">
        <f>+CH27+1</f>
        <v>25</v>
      </c>
      <c r="CI28" s="589"/>
      <c r="CJ28" s="566" t="s">
        <v>71</v>
      </c>
      <c r="CK28" s="602">
        <f>SUM(CK4:CK27)</f>
        <v>1.0000000000000002</v>
      </c>
      <c r="CL28" s="564">
        <f>CC9</f>
        <v>5861738.7768834978</v>
      </c>
      <c r="CM28" s="602">
        <f>SUM(CM4:CM27)</f>
        <v>1</v>
      </c>
      <c r="CN28" s="564">
        <f>CD9</f>
        <v>19211977.952013664</v>
      </c>
      <c r="CO28" s="564">
        <f>SUM(CO4:CO27)</f>
        <v>25073716.728897162</v>
      </c>
      <c r="CP28" s="602">
        <f>SUM(CP4:CP27)</f>
        <v>1.0000000000000002</v>
      </c>
      <c r="CQ28" s="601">
        <f>CO28*100/$L$28</f>
        <v>1.1414973983881747</v>
      </c>
      <c r="CS28" s="584"/>
      <c r="CT28" s="15"/>
      <c r="DD28" s="15"/>
      <c r="DE28" s="584"/>
      <c r="DF28" s="514"/>
      <c r="DG28" s="585">
        <f>DG27+1</f>
        <v>25</v>
      </c>
      <c r="DH28" s="590"/>
      <c r="DI28" s="591" t="s">
        <v>71</v>
      </c>
      <c r="DJ28" s="602">
        <f>SUM(DJ4:DJ27)</f>
        <v>1.0000000000000002</v>
      </c>
      <c r="DK28" s="564">
        <f>CZ7</f>
        <v>376694.73457649816</v>
      </c>
      <c r="DL28" s="602">
        <f>SUM(DL4:DL27)</f>
        <v>1</v>
      </c>
      <c r="DM28" s="564">
        <f>DA7</f>
        <v>2448135.5093462113</v>
      </c>
      <c r="DN28" s="602">
        <f>SUM(DN4:DN27)</f>
        <v>1.0000000000000002</v>
      </c>
      <c r="DO28" s="564">
        <f>DB7</f>
        <v>3548864.0135629829</v>
      </c>
      <c r="DP28" s="564">
        <f>SUM(DP4:DP27)</f>
        <v>6373694.2574856924</v>
      </c>
      <c r="DQ28" s="602">
        <f>SUM(DQ4:DQ27)</f>
        <v>1.0000000000000002</v>
      </c>
      <c r="DR28" s="601">
        <f>DP28*100/$L$28</f>
        <v>0.29016661118519277</v>
      </c>
      <c r="DS28" s="530"/>
      <c r="DT28" s="584"/>
      <c r="DU28" s="530"/>
      <c r="DV28" s="585">
        <f>DV27+1</f>
        <v>25</v>
      </c>
      <c r="DW28" s="590"/>
      <c r="DX28" s="591" t="s">
        <v>71</v>
      </c>
      <c r="DY28" s="602">
        <f>SUM(DY4:DY27)</f>
        <v>1</v>
      </c>
      <c r="DZ28" s="564">
        <f>C9</f>
        <v>4036007.430870018</v>
      </c>
      <c r="EA28" s="601">
        <f>DZ28*100/$L$28</f>
        <v>0.18374188525883151</v>
      </c>
      <c r="EB28" s="530"/>
      <c r="EC28" s="584"/>
      <c r="ED28" s="15"/>
      <c r="EJ28" s="15"/>
      <c r="EK28" s="584"/>
      <c r="EL28" s="15"/>
      <c r="EM28" s="585">
        <f>+EM27+1</f>
        <v>25</v>
      </c>
      <c r="EN28" s="590"/>
      <c r="EO28" s="591" t="s">
        <v>71</v>
      </c>
      <c r="EP28" s="602">
        <f>SUM(EP4:EP27)</f>
        <v>1.0000000000000002</v>
      </c>
      <c r="EQ28" s="564">
        <f>EI4</f>
        <v>7868767.537861947</v>
      </c>
      <c r="ER28" s="602">
        <f>SUM(ER4:ER27)</f>
        <v>1.0000000000000002</v>
      </c>
      <c r="ES28" s="564">
        <f>EI5</f>
        <v>1015726.0836739559</v>
      </c>
      <c r="ET28" s="602">
        <f>SUM(ET4:ET27)</f>
        <v>1.0000000000000002</v>
      </c>
      <c r="EU28" s="564">
        <f>EI6</f>
        <v>4299786.3428985812</v>
      </c>
      <c r="EV28" s="564">
        <f>SUM(EV4:EV27)</f>
        <v>13184279.964434486</v>
      </c>
      <c r="EW28" s="602">
        <f>SUM(EW4:EW27)</f>
        <v>0.99999999999999989</v>
      </c>
      <c r="EX28" s="601">
        <f>EV28*100/$L$28</f>
        <v>0.60022299213736263</v>
      </c>
      <c r="EY28" s="15"/>
      <c r="EZ28" s="584"/>
      <c r="FA28" s="15"/>
      <c r="FE28" s="15"/>
      <c r="FF28" s="584"/>
      <c r="FG28" s="530"/>
      <c r="FH28" s="585">
        <f>+FH27+1</f>
        <v>25</v>
      </c>
      <c r="FI28" s="603"/>
      <c r="FJ28" s="560" t="s">
        <v>71</v>
      </c>
      <c r="FK28" s="602">
        <f>Y28</f>
        <v>1.0000000000000002</v>
      </c>
      <c r="FL28" s="564">
        <f>FD6</f>
        <v>19738806.763283029</v>
      </c>
      <c r="FM28" s="601">
        <f>FL28*100/$L$28</f>
        <v>0.89862212336501568</v>
      </c>
      <c r="FN28" s="15"/>
      <c r="FQ28" s="562">
        <v>25</v>
      </c>
      <c r="FR28" s="604"/>
      <c r="FS28" s="598" t="s">
        <v>71</v>
      </c>
      <c r="FT28" s="564">
        <f>SUM(FT4:FT27)</f>
        <v>42112067.564003341</v>
      </c>
      <c r="FU28" s="564">
        <f>SUM(FU4:FU27)</f>
        <v>19173425.776259005</v>
      </c>
      <c r="FV28" s="564">
        <f>SUM(FV4:FV27)</f>
        <v>25073716.728897162</v>
      </c>
      <c r="FW28" s="564">
        <f>SUM(FW4:FW27)</f>
        <v>6373694.2574856924</v>
      </c>
      <c r="FX28" s="564">
        <f>SUM(FX4:FX27)</f>
        <v>4036007.430870018</v>
      </c>
      <c r="FY28" s="564">
        <f>SUM(FY4:FY27)</f>
        <v>13184279.964434486</v>
      </c>
      <c r="FZ28" s="564">
        <f>SUM(FZ4:FZ27)</f>
        <v>19738806.763283033</v>
      </c>
      <c r="GA28" s="564">
        <f>SUM(FT28:FZ28)</f>
        <v>129691998.48523273</v>
      </c>
      <c r="GB28" s="605">
        <v>5.9055510012352572</v>
      </c>
      <c r="GC28" s="15"/>
      <c r="GF28" s="585">
        <v>25</v>
      </c>
      <c r="GG28" s="606"/>
      <c r="GH28" s="566" t="s">
        <v>71</v>
      </c>
      <c r="GI28" s="601">
        <f>FT28*100/$GQ$28</f>
        <v>1.9171794945603657</v>
      </c>
      <c r="GJ28" s="601">
        <f>FU28*100/$GQ$28</f>
        <v>0.87288278313221057</v>
      </c>
      <c r="GK28" s="601">
        <f>FV28*100/$GQ$28</f>
        <v>1.1414973983881747</v>
      </c>
      <c r="GL28" s="601">
        <f>FW28*100/$GQ$28</f>
        <v>0.29016661118519277</v>
      </c>
      <c r="GM28" s="601">
        <f>FX28*100/$GQ$28</f>
        <v>0.18374188525883151</v>
      </c>
      <c r="GN28" s="601">
        <f>FY28*100/$GQ$28</f>
        <v>0.60022299213736263</v>
      </c>
      <c r="GO28" s="601">
        <f>FZ28*100/$GQ$28</f>
        <v>0.8986221233650159</v>
      </c>
      <c r="GP28" s="605">
        <f>GA28*100/$GQ$28</f>
        <v>5.9043132880271534</v>
      </c>
      <c r="GQ28" s="587">
        <f>SUM(GQ4:GQ27)</f>
        <v>2196563633.3733158</v>
      </c>
      <c r="GR28" s="607"/>
      <c r="GU28" s="562">
        <v>25</v>
      </c>
      <c r="GV28" s="604"/>
      <c r="GW28" s="598" t="s">
        <v>71</v>
      </c>
      <c r="GX28" s="586"/>
      <c r="GY28" s="564">
        <f>SUM(GY4:GY27)</f>
        <v>129691998.48523276</v>
      </c>
      <c r="GZ28" s="608">
        <f>SUM(GZ4:GZ27)</f>
        <v>2196563633.3733158</v>
      </c>
      <c r="HA28" s="601">
        <f>IF(GZ28&lt;&gt;0,GY28/GZ28*100,0)</f>
        <v>5.9043132880271552</v>
      </c>
      <c r="HB28" s="564">
        <f>SUM(HB4:HB27)</f>
        <v>129691993.59973666</v>
      </c>
      <c r="HC28" s="569">
        <f>SUM(HC4:HC27)</f>
        <v>-4.8854960735200166</v>
      </c>
      <c r="HD28" s="609"/>
      <c r="HG28" s="609"/>
      <c r="HH28" s="609"/>
      <c r="HI28" s="609"/>
      <c r="HJ28" s="609"/>
      <c r="HK28" s="609"/>
      <c r="HL28" s="609"/>
      <c r="HM28" s="609"/>
      <c r="HP28" s="585">
        <v>25</v>
      </c>
      <c r="HQ28" s="610" t="s">
        <v>71</v>
      </c>
      <c r="HR28" s="566"/>
      <c r="HS28" s="611">
        <f>SUM(HS4:HS27)</f>
        <v>2196563633.3733158</v>
      </c>
      <c r="HT28" s="612">
        <f>SUMPRODUCT(HS4:HS27,HT4:HT27)/SUM(HS4:HS27)</f>
        <v>5.9043130656117411</v>
      </c>
      <c r="HU28" s="612">
        <f>SUMPRODUCT(HS4:HS27,HU4:HU27)/SUM(HS4:HS27)</f>
        <v>5.1733111822805622</v>
      </c>
      <c r="HV28" s="614">
        <f>IF(HU28&lt;&gt;0,HT28/HU28-1,"")</f>
        <v>0.1413025154634</v>
      </c>
      <c r="HW28" s="613">
        <f>HT28-HU28</f>
        <v>0.73100188333117888</v>
      </c>
      <c r="HX28" s="615"/>
      <c r="HY28" s="15"/>
      <c r="HZ28" s="584"/>
      <c r="IA28" s="15"/>
      <c r="IL28" s="15"/>
      <c r="IM28" s="584"/>
      <c r="IN28" s="15"/>
      <c r="IO28" s="616">
        <v>25</v>
      </c>
      <c r="IP28" s="610" t="s">
        <v>71</v>
      </c>
      <c r="IQ28" s="566"/>
      <c r="IR28" s="617">
        <f>SUM(IR4:IR27)</f>
        <v>129691998.48523276</v>
      </c>
      <c r="IS28" s="611">
        <f>SUM(IS4:IS27)</f>
        <v>2196563633.3733158</v>
      </c>
      <c r="IT28" s="618">
        <f>SUMPRODUCT(IS4:IS27,IT4:IT27)/SUM(IS4:IS27)</f>
        <v>5.9043130656117411</v>
      </c>
      <c r="IU28" s="611">
        <f>SUM(IU4:IU27)</f>
        <v>316639920</v>
      </c>
      <c r="IV28" s="611">
        <f>SUM(IV4:IV27)</f>
        <v>1879923713.3733163</v>
      </c>
      <c r="IW28" s="617">
        <f>SUM(IW4:IW27)</f>
        <v>4749598.8</v>
      </c>
      <c r="IX28" s="617">
        <f>SUM(IX4:IX27)</f>
        <v>124942399.68523274</v>
      </c>
      <c r="IY28" s="605">
        <f>IX28/IS28*100</f>
        <v>5.6880846876880904</v>
      </c>
      <c r="IZ28" s="605">
        <f>SUMPRODUCT(IU4:IU27,IZ4:IZ27)/SUM(IU4:IU27)</f>
        <v>7.1623767639528904</v>
      </c>
      <c r="JA28" s="617">
        <f>SUM(JA4:JA27)</f>
        <v>129691998.37933491</v>
      </c>
      <c r="JB28" s="619"/>
      <c r="JF28" s="585">
        <v>25</v>
      </c>
      <c r="JG28" s="610" t="s">
        <v>71</v>
      </c>
      <c r="JH28" s="566"/>
      <c r="JI28" s="611">
        <f>SUM(JI4:JI27)</f>
        <v>2196563633.3733158</v>
      </c>
      <c r="JJ28" s="612">
        <f>SUMPRODUCT($JI4:$JI27,JJ4:JJ27)/SUM($JI4:$JI27)</f>
        <v>5.6880846828670215</v>
      </c>
      <c r="JK28" s="612">
        <f>SUMPRODUCT($JI4:$JI27,JK4:JK27)/SUM($JI4:$JI27)</f>
        <v>4.9541470461992407</v>
      </c>
      <c r="JL28" s="614">
        <f>IF(JK28&lt;&gt;0,JJ28/JK28-1,"")</f>
        <v>0.14814611472440009</v>
      </c>
      <c r="JM28" s="613">
        <f>JJ28-JK28</f>
        <v>0.73393763666778078</v>
      </c>
      <c r="JN28" s="615"/>
      <c r="JO28" s="5"/>
      <c r="JS28" s="612">
        <v>5.7021191911919562</v>
      </c>
      <c r="JT28" s="612">
        <f>JJ28-JS28</f>
        <v>-1.4034508324934691E-2</v>
      </c>
      <c r="JU28" s="1011">
        <v>2182522571</v>
      </c>
      <c r="JV28" s="1011">
        <f>JU28-JI28</f>
        <v>-14041062.373315811</v>
      </c>
      <c r="JW28" s="1069">
        <f>JT28/JS28</f>
        <v>-2.4612793690131467E-3</v>
      </c>
      <c r="JX28" s="997">
        <v>124450038.37308708</v>
      </c>
      <c r="JY28" s="997">
        <f>JI28*JJ28/100</f>
        <v>124942399.57933488</v>
      </c>
      <c r="JZ28" s="516"/>
      <c r="KA28" s="516"/>
      <c r="KB28" s="516"/>
      <c r="KC28" s="516"/>
      <c r="KE28" s="516"/>
      <c r="KF28" s="516"/>
    </row>
    <row r="29" spans="2:292" ht="16.5" x14ac:dyDescent="0.3">
      <c r="F29" s="530"/>
      <c r="G29" s="620"/>
      <c r="H29" s="530"/>
      <c r="L29" s="236"/>
      <c r="N29" s="236"/>
      <c r="O29" s="236"/>
      <c r="R29" s="530"/>
      <c r="S29" s="620"/>
      <c r="T29" s="530"/>
      <c r="U29" s="514"/>
      <c r="V29" s="676"/>
      <c r="Z29" s="530"/>
      <c r="AA29" s="620"/>
      <c r="AB29" s="530"/>
      <c r="AG29" s="530"/>
      <c r="AH29" s="620"/>
      <c r="AI29" s="530"/>
      <c r="AJ29" s="530"/>
      <c r="AK29" s="530"/>
      <c r="AL29" s="530"/>
      <c r="AP29" s="621"/>
      <c r="AQ29" s="621"/>
      <c r="AR29" s="530"/>
      <c r="AS29" s="530"/>
      <c r="AT29" s="530"/>
      <c r="AU29" s="530"/>
      <c r="AV29" s="622"/>
      <c r="AW29" s="530"/>
      <c r="AX29" s="530"/>
      <c r="AY29" s="530"/>
      <c r="AZ29" s="530"/>
      <c r="BA29" s="530"/>
      <c r="BB29" s="620"/>
      <c r="BC29" s="530"/>
      <c r="BD29" s="530"/>
      <c r="BE29" s="530"/>
      <c r="BF29" s="530"/>
      <c r="BG29" s="530"/>
      <c r="BH29" s="530"/>
      <c r="BI29" s="620"/>
      <c r="BJ29" s="530"/>
      <c r="BT29" s="530"/>
      <c r="BU29" s="620"/>
      <c r="BV29" s="623"/>
      <c r="BW29" s="190"/>
      <c r="BX29" s="190"/>
      <c r="BY29" s="190"/>
      <c r="BZ29" s="190"/>
      <c r="CA29" s="190"/>
      <c r="CB29" s="190"/>
      <c r="CC29" s="190"/>
      <c r="CD29" s="190"/>
      <c r="CE29" s="530"/>
      <c r="CF29" s="620"/>
      <c r="CG29" s="15"/>
      <c r="CH29" s="5"/>
      <c r="CL29" s="16"/>
      <c r="CN29" s="16"/>
      <c r="CO29" s="16"/>
      <c r="CR29" s="15"/>
      <c r="CS29" s="620"/>
      <c r="CT29" s="530"/>
      <c r="DD29" s="623"/>
      <c r="DE29" s="620"/>
      <c r="DF29" s="530"/>
      <c r="DG29" s="530"/>
      <c r="DH29" s="530"/>
      <c r="DI29" s="530"/>
      <c r="DJ29" s="530"/>
      <c r="DK29" s="530"/>
      <c r="DL29" s="530"/>
      <c r="DM29" s="530"/>
      <c r="DN29" s="530"/>
      <c r="DO29" s="530"/>
      <c r="DP29" s="530"/>
      <c r="DQ29" s="530"/>
      <c r="DR29" s="530"/>
      <c r="DS29" s="530"/>
      <c r="DT29" s="620"/>
      <c r="DU29" s="530"/>
      <c r="DV29" s="514"/>
      <c r="DW29" s="530"/>
      <c r="DX29" s="530"/>
      <c r="DY29" s="530"/>
      <c r="DZ29" s="530"/>
      <c r="EA29" s="530"/>
      <c r="EB29" s="530"/>
      <c r="EC29" s="620"/>
      <c r="ED29" s="530"/>
      <c r="EJ29" s="530"/>
      <c r="EK29" s="620"/>
      <c r="EL29" s="530"/>
      <c r="EM29" s="530"/>
      <c r="EN29" s="530"/>
      <c r="EO29" s="530"/>
      <c r="EP29" s="530"/>
      <c r="EQ29" s="530"/>
      <c r="ER29" s="530"/>
      <c r="ES29" s="530"/>
      <c r="ET29" s="530"/>
      <c r="EU29" s="624"/>
      <c r="EV29" s="530"/>
      <c r="EW29" s="530"/>
      <c r="EX29" s="530"/>
      <c r="EY29" s="530"/>
      <c r="EZ29" s="620"/>
      <c r="FA29" s="530"/>
      <c r="FE29" s="530"/>
      <c r="FF29" s="620"/>
      <c r="FG29" s="530"/>
      <c r="FH29" s="530"/>
      <c r="FI29" s="530"/>
      <c r="FJ29" s="530"/>
      <c r="FK29" s="530"/>
      <c r="FL29" s="530"/>
      <c r="FM29" s="530"/>
      <c r="FN29" s="530"/>
      <c r="GA29" s="355">
        <f>GA28-'DCA 3 month Phase I'!MC25</f>
        <v>-4191.5603615343571</v>
      </c>
      <c r="GF29" s="530"/>
      <c r="GG29" s="530"/>
      <c r="GH29" s="530"/>
      <c r="GI29" s="530"/>
      <c r="GJ29" s="530"/>
      <c r="GK29" s="530"/>
      <c r="GL29" s="530"/>
      <c r="GM29" s="530"/>
      <c r="GN29" s="530"/>
      <c r="GO29" s="530"/>
      <c r="GP29" s="530"/>
      <c r="GQ29" s="530"/>
      <c r="GR29" s="530"/>
      <c r="HD29" s="204"/>
      <c r="HG29" s="549"/>
      <c r="HH29" s="549"/>
      <c r="HI29" s="549"/>
      <c r="HJ29" s="549"/>
      <c r="HK29" s="549"/>
      <c r="HL29" s="204"/>
      <c r="HM29" s="204"/>
      <c r="HY29" s="530"/>
      <c r="HZ29" s="620"/>
      <c r="IA29" s="530"/>
      <c r="IO29" s="514"/>
      <c r="IP29" s="530"/>
      <c r="JY29" s="997"/>
      <c r="JZ29" s="516"/>
      <c r="KA29" s="516"/>
      <c r="KB29" s="516"/>
      <c r="KC29" s="516"/>
    </row>
    <row r="30" spans="2:292" ht="16.5" x14ac:dyDescent="0.3">
      <c r="F30" s="530"/>
      <c r="G30" s="620"/>
      <c r="H30" s="530"/>
      <c r="R30" s="530"/>
      <c r="S30" s="620"/>
      <c r="T30" s="530"/>
      <c r="U30" s="514"/>
      <c r="V30" s="676"/>
      <c r="W30" s="948" t="s">
        <v>414</v>
      </c>
      <c r="X30" s="739"/>
      <c r="Y30" s="739"/>
      <c r="Z30" s="530"/>
      <c r="AA30" s="620"/>
      <c r="AB30" s="530"/>
      <c r="AG30" s="530"/>
      <c r="AH30" s="620"/>
      <c r="AI30" s="530"/>
      <c r="AJ30" s="530"/>
      <c r="AK30" s="530"/>
      <c r="AL30" s="530"/>
      <c r="AP30" s="530"/>
      <c r="AQ30" s="705" t="s">
        <v>414</v>
      </c>
      <c r="AR30" s="705"/>
      <c r="AS30" s="705">
        <v>3</v>
      </c>
      <c r="AT30" s="705">
        <v>3</v>
      </c>
      <c r="AU30" s="705"/>
      <c r="AV30" s="705"/>
      <c r="AW30" s="705"/>
      <c r="AX30" s="705"/>
      <c r="AY30" s="625"/>
      <c r="AZ30" s="625">
        <v>4</v>
      </c>
      <c r="BA30" s="530"/>
      <c r="BB30" s="620"/>
      <c r="BC30" s="530"/>
      <c r="BD30" s="530"/>
      <c r="BE30" s="530"/>
      <c r="BF30" s="530"/>
      <c r="BG30" s="530"/>
      <c r="BH30" s="530"/>
      <c r="BI30" s="620"/>
      <c r="BJ30" s="530"/>
      <c r="BM30" s="714" t="s">
        <v>416</v>
      </c>
      <c r="BN30" s="714"/>
      <c r="BO30" s="714"/>
      <c r="BP30" s="714"/>
      <c r="BQ30" s="714"/>
      <c r="BR30" s="714"/>
      <c r="BS30" s="714"/>
      <c r="BT30" s="530"/>
      <c r="BU30" s="620"/>
      <c r="BV30" s="623"/>
      <c r="BW30" s="190"/>
      <c r="BX30" s="190"/>
      <c r="BY30" s="190"/>
      <c r="BZ30" s="190"/>
      <c r="CA30" s="190"/>
      <c r="CB30" s="190"/>
      <c r="CC30" s="190"/>
      <c r="CD30" s="190"/>
      <c r="CE30" s="530"/>
      <c r="CF30" s="620"/>
      <c r="CG30" s="530"/>
      <c r="CH30" s="660"/>
      <c r="CI30" s="681"/>
      <c r="CJ30" s="729" t="s">
        <v>417</v>
      </c>
      <c r="CK30" s="660"/>
      <c r="CL30" s="730"/>
      <c r="CM30" s="660"/>
      <c r="CN30" s="730"/>
      <c r="CO30" s="730"/>
      <c r="CP30" s="660"/>
      <c r="CQ30" s="660"/>
      <c r="CR30" s="530"/>
      <c r="CS30" s="620"/>
      <c r="CT30" s="530"/>
      <c r="DD30" s="623"/>
      <c r="DE30" s="620"/>
      <c r="DF30" s="530"/>
      <c r="DG30" s="530"/>
      <c r="DH30" s="530"/>
      <c r="DI30" s="729" t="s">
        <v>418</v>
      </c>
      <c r="DJ30" s="741"/>
      <c r="DK30" s="741"/>
      <c r="DL30" s="741"/>
      <c r="DM30" s="741"/>
      <c r="DN30" s="741"/>
      <c r="DO30" s="741"/>
      <c r="DP30" s="741"/>
      <c r="DQ30" s="741"/>
      <c r="DR30" s="741"/>
      <c r="DT30" s="620"/>
      <c r="DU30" s="530"/>
      <c r="DV30" s="530"/>
      <c r="DW30" s="530"/>
      <c r="DX30" s="1068" t="s">
        <v>418</v>
      </c>
      <c r="DY30" s="1068"/>
      <c r="DZ30" s="1068"/>
      <c r="EA30" s="1068"/>
      <c r="EB30" s="660"/>
      <c r="EC30" s="620"/>
      <c r="ED30" s="530"/>
      <c r="EJ30" s="530"/>
      <c r="EK30" s="620"/>
      <c r="EL30" s="530"/>
      <c r="EM30" s="676"/>
      <c r="EN30" s="676"/>
      <c r="EO30" s="729" t="s">
        <v>419</v>
      </c>
      <c r="EP30" s="729"/>
      <c r="EQ30" s="729"/>
      <c r="ER30" s="729"/>
      <c r="ES30" s="729"/>
      <c r="ET30" s="729"/>
      <c r="EU30" s="729"/>
      <c r="EV30" s="729"/>
      <c r="EW30" s="729"/>
      <c r="EX30" s="729"/>
      <c r="EY30" s="530"/>
      <c r="EZ30" s="620"/>
      <c r="FA30" s="530"/>
      <c r="FE30" s="530"/>
      <c r="FF30" s="620"/>
      <c r="FG30" s="530"/>
      <c r="FH30" s="625"/>
      <c r="FI30" s="626"/>
      <c r="FJ30" s="626"/>
      <c r="FK30" s="626"/>
      <c r="FL30" s="626"/>
      <c r="FM30" s="626">
        <v>4</v>
      </c>
      <c r="FN30" s="530"/>
      <c r="GF30" s="530"/>
      <c r="GG30" s="530"/>
      <c r="GH30" s="530"/>
      <c r="GI30" s="552"/>
      <c r="GJ30" s="552"/>
      <c r="GK30" s="552"/>
      <c r="GL30" s="552"/>
      <c r="GM30" s="552"/>
      <c r="GN30" s="552"/>
      <c r="GO30" s="552"/>
      <c r="GP30" s="530"/>
      <c r="GQ30" s="622"/>
      <c r="GR30" s="530"/>
      <c r="HD30" s="204"/>
      <c r="HG30" s="549"/>
      <c r="HH30" s="549"/>
      <c r="HI30" s="549"/>
      <c r="HJ30" s="549"/>
      <c r="HK30" s="549"/>
      <c r="HL30" s="204"/>
      <c r="HM30" s="204"/>
      <c r="HP30" s="706" t="s">
        <v>420</v>
      </c>
      <c r="HQ30" s="628"/>
      <c r="HR30" s="629"/>
      <c r="HS30" s="630">
        <v>3</v>
      </c>
      <c r="HT30" s="630"/>
      <c r="HU30" s="630">
        <v>11</v>
      </c>
      <c r="HV30" s="630"/>
      <c r="HW30" s="630"/>
      <c r="HX30" s="630">
        <v>6</v>
      </c>
      <c r="HY30" s="530"/>
      <c r="HZ30" s="620"/>
      <c r="IA30" s="530"/>
      <c r="IO30" s="530"/>
      <c r="IP30" s="530"/>
      <c r="JF30" s="706" t="s">
        <v>420</v>
      </c>
      <c r="JG30" s="780"/>
      <c r="JH30" s="781"/>
      <c r="JI30" s="782">
        <v>3</v>
      </c>
      <c r="JJ30" s="782"/>
      <c r="JK30" s="782">
        <v>5</v>
      </c>
      <c r="JL30" s="782"/>
      <c r="JM30" s="782"/>
      <c r="JN30" s="782">
        <v>6</v>
      </c>
      <c r="JO30" s="660"/>
      <c r="JZ30" s="516"/>
      <c r="KA30" s="516"/>
      <c r="KB30" s="516"/>
      <c r="KC30" s="516"/>
    </row>
    <row r="31" spans="2:292" ht="16.5" x14ac:dyDescent="0.3">
      <c r="G31" s="620"/>
      <c r="H31" s="530"/>
      <c r="S31" s="620"/>
      <c r="T31" s="530"/>
      <c r="W31" s="948" t="s">
        <v>415</v>
      </c>
      <c r="X31" s="739">
        <v>2</v>
      </c>
      <c r="Y31" s="739">
        <f>X31+1</f>
        <v>3</v>
      </c>
      <c r="AA31" s="620"/>
      <c r="AB31" s="530"/>
      <c r="AH31" s="620"/>
      <c r="AI31" s="530"/>
      <c r="AJ31" s="530"/>
      <c r="AK31" s="530"/>
      <c r="AL31" s="530"/>
      <c r="AO31" s="631"/>
      <c r="AQ31" s="706" t="s">
        <v>421</v>
      </c>
      <c r="AR31" s="706">
        <v>2</v>
      </c>
      <c r="AS31" s="706">
        <f>+AR31+1</f>
        <v>3</v>
      </c>
      <c r="AT31" s="706">
        <f>+AS31+1</f>
        <v>4</v>
      </c>
      <c r="AU31" s="706">
        <f>+AT31+1</f>
        <v>5</v>
      </c>
      <c r="AV31" s="706">
        <f>+AU31+1</f>
        <v>6</v>
      </c>
      <c r="AW31" s="706">
        <f>+AV31+1</f>
        <v>7</v>
      </c>
      <c r="AX31" s="706">
        <f>+AW31+1</f>
        <v>8</v>
      </c>
      <c r="AY31" s="627"/>
      <c r="AZ31" s="627">
        <f>+AX31+1</f>
        <v>9</v>
      </c>
      <c r="BB31" s="620"/>
      <c r="BC31" s="530"/>
      <c r="BD31" s="530"/>
      <c r="BE31" s="530"/>
      <c r="BF31" s="530"/>
      <c r="BG31" s="530"/>
      <c r="BI31" s="620"/>
      <c r="BJ31" s="530"/>
      <c r="BM31" s="660"/>
      <c r="BN31" s="660"/>
      <c r="BO31" s="660"/>
      <c r="BP31" s="660"/>
      <c r="BQ31" s="660"/>
      <c r="BR31" s="660"/>
      <c r="BS31" s="660"/>
      <c r="BU31" s="620"/>
      <c r="BV31" s="623"/>
      <c r="BW31" s="190"/>
      <c r="BX31" s="190"/>
      <c r="BY31" s="190"/>
      <c r="BZ31" s="190"/>
      <c r="CA31" s="190"/>
      <c r="CB31" s="190"/>
      <c r="CC31" s="190"/>
      <c r="CD31" s="190"/>
      <c r="CF31" s="620"/>
      <c r="CG31" s="530"/>
      <c r="CH31" s="660"/>
      <c r="CI31" s="681"/>
      <c r="CJ31" s="660"/>
      <c r="CK31" s="660"/>
      <c r="CL31" s="660"/>
      <c r="CM31" s="660"/>
      <c r="CN31" s="660"/>
      <c r="CO31" s="660"/>
      <c r="CP31" s="660"/>
      <c r="CQ31" s="660"/>
      <c r="CR31" s="530"/>
      <c r="CS31" s="620"/>
      <c r="CT31" s="530"/>
      <c r="DD31" s="190"/>
      <c r="DE31" s="620"/>
      <c r="DF31" s="530"/>
      <c r="DI31" s="660"/>
      <c r="DJ31" s="660"/>
      <c r="DK31" s="660"/>
      <c r="DL31" s="660"/>
      <c r="DM31" s="660"/>
      <c r="DN31" s="660"/>
      <c r="DO31" s="660"/>
      <c r="DP31" s="660"/>
      <c r="DQ31" s="660"/>
      <c r="DR31" s="660"/>
      <c r="DT31" s="620"/>
      <c r="DU31" s="530"/>
      <c r="DX31" s="1068"/>
      <c r="DY31" s="1068"/>
      <c r="DZ31" s="1068"/>
      <c r="EA31" s="1068"/>
      <c r="EB31" s="660"/>
      <c r="EC31" s="620"/>
      <c r="ED31" s="530"/>
      <c r="EK31" s="620"/>
      <c r="EL31" s="530"/>
      <c r="EM31" s="676"/>
      <c r="EN31" s="676"/>
      <c r="EO31" s="676"/>
      <c r="EP31" s="676"/>
      <c r="EQ31" s="676"/>
      <c r="ER31" s="676"/>
      <c r="ES31" s="676"/>
      <c r="ET31" s="676"/>
      <c r="EU31" s="742"/>
      <c r="EV31" s="676"/>
      <c r="EW31" s="676"/>
      <c r="EX31" s="676"/>
      <c r="EZ31" s="620"/>
      <c r="FA31" s="530"/>
      <c r="FF31" s="620"/>
      <c r="FG31" s="530"/>
      <c r="FH31" s="705" t="s">
        <v>414</v>
      </c>
      <c r="FI31" s="626"/>
      <c r="FJ31" s="626"/>
      <c r="FK31" s="626"/>
      <c r="FL31" s="626">
        <f>Y31+1</f>
        <v>4</v>
      </c>
      <c r="FM31" s="626">
        <f>FL31+1</f>
        <v>5</v>
      </c>
      <c r="GF31" s="530"/>
      <c r="GG31" s="530"/>
      <c r="GH31" s="655" t="s">
        <v>414</v>
      </c>
      <c r="GI31" s="655">
        <v>10</v>
      </c>
      <c r="GJ31" s="655">
        <v>8</v>
      </c>
      <c r="GK31" s="655">
        <v>9</v>
      </c>
      <c r="GL31" s="655">
        <v>11</v>
      </c>
      <c r="GM31" s="655">
        <v>5</v>
      </c>
      <c r="GN31" s="655">
        <v>11</v>
      </c>
      <c r="GO31" s="655">
        <v>5</v>
      </c>
      <c r="GP31" s="655">
        <v>11</v>
      </c>
      <c r="GQ31" s="655">
        <v>3</v>
      </c>
      <c r="GZ31" s="949" t="s">
        <v>422</v>
      </c>
      <c r="HA31" s="950">
        <f>31.49*100</f>
        <v>3149</v>
      </c>
      <c r="HD31" s="565"/>
      <c r="HG31" s="565"/>
      <c r="HH31" s="565"/>
      <c r="HI31" s="565"/>
      <c r="HJ31" s="565"/>
      <c r="HK31" s="565"/>
      <c r="HL31" s="565"/>
      <c r="HM31" s="565"/>
      <c r="HT31" s="241"/>
      <c r="HU31" s="241"/>
      <c r="HZ31" s="620"/>
      <c r="IA31" s="530"/>
      <c r="IP31" s="530"/>
      <c r="JF31" s="660"/>
      <c r="JG31" s="660"/>
      <c r="JH31" s="660"/>
      <c r="JI31" s="660"/>
      <c r="JJ31" s="660"/>
      <c r="JK31" s="660"/>
      <c r="JL31" s="660"/>
      <c r="JM31" s="660"/>
      <c r="JN31" s="660"/>
      <c r="JO31" s="660"/>
    </row>
    <row r="32" spans="2:292" ht="16.5" x14ac:dyDescent="0.3">
      <c r="G32" s="620"/>
      <c r="H32" s="530"/>
      <c r="S32" s="620"/>
      <c r="T32" s="530"/>
      <c r="AA32" s="620"/>
      <c r="AB32" s="530"/>
      <c r="AH32" s="620"/>
      <c r="AI32" s="530"/>
      <c r="AJ32" s="530"/>
      <c r="AK32" s="530"/>
      <c r="AL32" s="530"/>
      <c r="BB32" s="620"/>
      <c r="BC32" s="530"/>
      <c r="BD32" s="530"/>
      <c r="BE32" s="530"/>
      <c r="BF32" s="530"/>
      <c r="BG32" s="530"/>
      <c r="BI32" s="620"/>
      <c r="BJ32" s="530"/>
      <c r="BM32" s="660"/>
      <c r="BN32" s="660"/>
      <c r="BO32" s="660"/>
      <c r="BP32" s="660"/>
      <c r="BQ32" s="660"/>
      <c r="BR32" s="660"/>
      <c r="BS32" s="660"/>
      <c r="BU32" s="620"/>
      <c r="BV32" s="623"/>
      <c r="BW32" s="190"/>
      <c r="BX32" s="190"/>
      <c r="BY32" s="190"/>
      <c r="BZ32" s="190"/>
      <c r="CA32" s="190"/>
      <c r="CB32" s="190"/>
      <c r="CC32" s="190"/>
      <c r="CD32" s="190"/>
      <c r="CF32" s="620"/>
      <c r="CG32" s="530"/>
      <c r="CH32" s="655"/>
      <c r="CI32" s="678" t="s">
        <v>414</v>
      </c>
      <c r="CJ32" s="655"/>
      <c r="CK32" s="655">
        <v>4</v>
      </c>
      <c r="CL32" s="655"/>
      <c r="CM32" s="655">
        <v>7</v>
      </c>
      <c r="CN32" s="655"/>
      <c r="CO32" s="655"/>
      <c r="CP32" s="655"/>
      <c r="CQ32" s="655">
        <v>4</v>
      </c>
      <c r="CS32" s="620"/>
      <c r="CT32" s="530"/>
      <c r="DD32" s="190"/>
      <c r="DE32" s="620"/>
      <c r="DF32" s="530"/>
      <c r="DI32" s="660"/>
      <c r="DJ32" s="660"/>
      <c r="DK32" s="660"/>
      <c r="DL32" s="660"/>
      <c r="DM32" s="660"/>
      <c r="DN32" s="660"/>
      <c r="DO32" s="660"/>
      <c r="DP32" s="660"/>
      <c r="DQ32" s="660"/>
      <c r="DR32" s="660"/>
      <c r="DT32" s="620"/>
      <c r="DU32" s="530"/>
      <c r="DX32" s="660"/>
      <c r="DY32" s="660"/>
      <c r="DZ32" s="660"/>
      <c r="EA32" s="660"/>
      <c r="EB32" s="660"/>
      <c r="EC32" s="620"/>
      <c r="ED32" s="530"/>
      <c r="EK32" s="620"/>
      <c r="EL32" s="530"/>
      <c r="EM32" s="676"/>
      <c r="EN32" s="676"/>
      <c r="EO32" s="676"/>
      <c r="EP32" s="676"/>
      <c r="EQ32" s="676"/>
      <c r="ER32" s="676"/>
      <c r="ES32" s="676"/>
      <c r="ET32" s="676"/>
      <c r="EU32" s="742"/>
      <c r="EV32" s="676"/>
      <c r="EW32" s="676"/>
      <c r="EX32" s="676"/>
      <c r="EZ32" s="620"/>
      <c r="FA32" s="530"/>
      <c r="FF32" s="620"/>
      <c r="FG32" s="530"/>
      <c r="GH32" s="655" t="s">
        <v>421</v>
      </c>
      <c r="GI32" s="655">
        <v>3</v>
      </c>
      <c r="GJ32" s="655">
        <f>+GI32+1</f>
        <v>4</v>
      </c>
      <c r="GK32" s="655">
        <f>+GJ32+1</f>
        <v>5</v>
      </c>
      <c r="GL32" s="655">
        <f>+GK32+1</f>
        <v>6</v>
      </c>
      <c r="GM32" s="655">
        <f>+GL32+1</f>
        <v>7</v>
      </c>
      <c r="GN32" s="655">
        <f>+GM32+1</f>
        <v>8</v>
      </c>
      <c r="GO32" s="655">
        <f>+GN32+1</f>
        <v>9</v>
      </c>
      <c r="GP32" s="655">
        <f>+GO32+1</f>
        <v>10</v>
      </c>
      <c r="GQ32" s="655">
        <f>+GP32+1</f>
        <v>11</v>
      </c>
      <c r="HT32" s="235"/>
      <c r="HU32" s="235"/>
      <c r="HZ32" s="620"/>
      <c r="IA32" s="530"/>
      <c r="IP32" s="530"/>
      <c r="JF32" s="660"/>
      <c r="JG32" s="660"/>
      <c r="JH32" s="660"/>
      <c r="JI32" s="660"/>
      <c r="JJ32" s="660"/>
      <c r="JK32" s="660"/>
      <c r="JL32" s="660"/>
      <c r="JM32" s="660"/>
      <c r="JN32" s="660"/>
      <c r="JO32" s="660"/>
    </row>
    <row r="33" spans="7:275" ht="16.5" x14ac:dyDescent="0.3">
      <c r="G33" s="620"/>
      <c r="H33" s="530"/>
      <c r="S33" s="620"/>
      <c r="T33" s="530"/>
      <c r="AA33" s="620"/>
      <c r="AB33" s="530"/>
      <c r="AH33" s="620"/>
      <c r="AI33" s="530"/>
      <c r="AJ33" s="530"/>
      <c r="AK33" s="530"/>
      <c r="AL33" s="530"/>
      <c r="BB33" s="620"/>
      <c r="BC33" s="530"/>
      <c r="BD33" s="530"/>
      <c r="BE33" s="530"/>
      <c r="BF33" s="530"/>
      <c r="BG33" s="530"/>
      <c r="BI33" s="620"/>
      <c r="BJ33" s="530"/>
      <c r="BM33" s="705" t="s">
        <v>414</v>
      </c>
      <c r="BN33" s="705">
        <v>9</v>
      </c>
      <c r="BO33" s="705"/>
      <c r="BP33" s="705">
        <v>4</v>
      </c>
      <c r="BQ33" s="705"/>
      <c r="BR33" s="705"/>
      <c r="BS33" s="705">
        <v>4</v>
      </c>
      <c r="BU33" s="620"/>
      <c r="BV33" s="623"/>
      <c r="BW33" s="190"/>
      <c r="BX33" s="190"/>
      <c r="BY33" s="190"/>
      <c r="BZ33" s="190"/>
      <c r="CA33" s="190"/>
      <c r="CB33" s="190"/>
      <c r="CC33" s="190"/>
      <c r="CD33" s="190"/>
      <c r="CF33" s="620"/>
      <c r="CG33" s="530"/>
      <c r="CH33" s="660"/>
      <c r="CI33" s="681"/>
      <c r="CJ33" s="660"/>
      <c r="CK33" s="660"/>
      <c r="CL33" s="660"/>
      <c r="CM33" s="660"/>
      <c r="CN33" s="660"/>
      <c r="CO33" s="660"/>
      <c r="CP33" s="660"/>
      <c r="CQ33" s="660"/>
      <c r="CS33" s="620"/>
      <c r="CT33" s="530"/>
      <c r="DD33" s="190"/>
      <c r="DE33" s="620"/>
      <c r="DF33" s="530"/>
      <c r="DI33" s="655" t="s">
        <v>414</v>
      </c>
      <c r="DJ33" s="655">
        <v>8</v>
      </c>
      <c r="DK33" s="655"/>
      <c r="DL33" s="655">
        <v>7</v>
      </c>
      <c r="DM33" s="655"/>
      <c r="DN33" s="655">
        <v>4</v>
      </c>
      <c r="DO33" s="655"/>
      <c r="DP33" s="655"/>
      <c r="DQ33" s="655"/>
      <c r="DR33" s="655">
        <v>4</v>
      </c>
      <c r="DT33" s="620"/>
      <c r="DU33" s="530"/>
      <c r="DX33" s="655" t="s">
        <v>414</v>
      </c>
      <c r="DY33" s="655">
        <v>7</v>
      </c>
      <c r="DZ33" s="655"/>
      <c r="EA33" s="655">
        <v>4</v>
      </c>
      <c r="EB33" s="660"/>
      <c r="EC33" s="620"/>
      <c r="ED33" s="530"/>
      <c r="EK33" s="620"/>
      <c r="EL33" s="530"/>
      <c r="EM33" s="705"/>
      <c r="EN33" s="705"/>
      <c r="EO33" s="705" t="s">
        <v>414</v>
      </c>
      <c r="EP33" s="743">
        <v>4</v>
      </c>
      <c r="EQ33" s="743"/>
      <c r="ER33" s="743">
        <v>8</v>
      </c>
      <c r="ES33" s="743"/>
      <c r="ET33" s="743">
        <v>4</v>
      </c>
      <c r="EU33" s="744"/>
      <c r="EV33" s="743"/>
      <c r="EW33" s="743"/>
      <c r="EX33" s="743">
        <v>4</v>
      </c>
      <c r="EZ33" s="620"/>
      <c r="FA33" s="530"/>
      <c r="FF33" s="620"/>
      <c r="FG33" s="530"/>
      <c r="FS33" s="948" t="s">
        <v>414</v>
      </c>
      <c r="FT33" s="655">
        <v>8</v>
      </c>
      <c r="FU33" s="655">
        <v>7</v>
      </c>
      <c r="FV33" s="655">
        <v>7</v>
      </c>
      <c r="FW33" s="655">
        <v>9</v>
      </c>
      <c r="FX33" s="655">
        <v>4</v>
      </c>
      <c r="FY33" s="655"/>
      <c r="FZ33" s="655">
        <v>4</v>
      </c>
      <c r="GA33" s="655"/>
      <c r="GB33" s="655">
        <v>4</v>
      </c>
      <c r="HZ33" s="620"/>
      <c r="IA33" s="530"/>
      <c r="IP33" s="530"/>
      <c r="JF33" s="660"/>
      <c r="JG33" s="660"/>
      <c r="JH33" s="660"/>
      <c r="JI33" s="660"/>
      <c r="JJ33" s="660"/>
      <c r="JK33" s="660"/>
      <c r="JL33" s="660"/>
      <c r="JM33" s="660"/>
      <c r="JN33" s="660"/>
      <c r="JO33" s="660"/>
    </row>
    <row r="34" spans="7:275" ht="16.5" x14ac:dyDescent="0.3">
      <c r="G34" s="620"/>
      <c r="H34" s="530"/>
      <c r="K34" s="627" t="s">
        <v>414</v>
      </c>
      <c r="L34" s="630">
        <v>3</v>
      </c>
      <c r="M34" s="630"/>
      <c r="N34" s="630"/>
      <c r="O34" s="630"/>
      <c r="P34" s="630"/>
      <c r="Q34" s="630">
        <v>4</v>
      </c>
      <c r="S34" s="620"/>
      <c r="T34" s="530"/>
      <c r="AA34" s="620"/>
      <c r="AB34" s="530"/>
      <c r="AH34" s="620"/>
      <c r="AI34" s="530"/>
      <c r="AJ34" s="530"/>
      <c r="AK34" s="530"/>
      <c r="AL34" s="530"/>
      <c r="BB34" s="620"/>
      <c r="BC34" s="530"/>
      <c r="BD34" s="530"/>
      <c r="BE34" s="530"/>
      <c r="BF34" s="530"/>
      <c r="BG34" s="530"/>
      <c r="BI34" s="620"/>
      <c r="BJ34" s="530"/>
      <c r="BM34" s="706" t="s">
        <v>421</v>
      </c>
      <c r="BN34" s="706"/>
      <c r="BO34" s="706"/>
      <c r="BP34" s="706"/>
      <c r="BQ34" s="706"/>
      <c r="BR34" s="705"/>
      <c r="BS34" s="705"/>
      <c r="BU34" s="620"/>
      <c r="BV34" s="623"/>
      <c r="BW34" s="190"/>
      <c r="BX34" s="190"/>
      <c r="BY34" s="190"/>
      <c r="BZ34" s="190"/>
      <c r="CA34" s="190"/>
      <c r="CB34" s="190"/>
      <c r="CC34" s="190"/>
      <c r="CD34" s="190"/>
      <c r="CF34" s="620"/>
      <c r="CG34" s="530"/>
      <c r="CS34" s="620"/>
      <c r="CT34" s="530"/>
      <c r="DD34" s="190"/>
      <c r="DE34" s="620"/>
      <c r="DF34" s="530"/>
      <c r="DI34" s="660"/>
      <c r="DJ34" s="660"/>
      <c r="DK34" s="660"/>
      <c r="DL34" s="660"/>
      <c r="DM34" s="660"/>
      <c r="DN34" s="660"/>
      <c r="DO34" s="660"/>
      <c r="DP34" s="660"/>
      <c r="DQ34" s="660"/>
      <c r="DR34" s="660"/>
      <c r="DT34" s="620"/>
      <c r="DU34" s="530"/>
      <c r="DX34" s="660"/>
      <c r="DY34" s="660"/>
      <c r="DZ34" s="660"/>
      <c r="EA34" s="660"/>
      <c r="EB34" s="660"/>
      <c r="EC34" s="620"/>
      <c r="ED34" s="530"/>
      <c r="EK34" s="620"/>
      <c r="EL34" s="530"/>
      <c r="EM34" s="660"/>
      <c r="EN34" s="660"/>
      <c r="EO34" s="660"/>
      <c r="EP34" s="660"/>
      <c r="EQ34" s="660"/>
      <c r="ER34" s="660"/>
      <c r="ES34" s="660"/>
      <c r="ET34" s="660"/>
      <c r="EU34" s="660"/>
      <c r="EV34" s="660"/>
      <c r="EW34" s="660"/>
      <c r="EX34" s="660"/>
      <c r="EZ34" s="620"/>
      <c r="FA34" s="530"/>
      <c r="FF34" s="620"/>
      <c r="FG34" s="530"/>
      <c r="FS34" s="655" t="s">
        <v>421</v>
      </c>
      <c r="FT34" s="655">
        <v>1</v>
      </c>
      <c r="FU34" s="655">
        <f>+FT34+1</f>
        <v>2</v>
      </c>
      <c r="FV34" s="655">
        <f>+FU34+1</f>
        <v>3</v>
      </c>
      <c r="FW34" s="655">
        <f>+FV34+1</f>
        <v>4</v>
      </c>
      <c r="FX34" s="655">
        <f>+FW34+1</f>
        <v>5</v>
      </c>
      <c r="FY34" s="655">
        <v>9</v>
      </c>
      <c r="FZ34" s="655">
        <f>+FY34+1</f>
        <v>10</v>
      </c>
      <c r="GA34" s="655">
        <f>+FZ34+1</f>
        <v>11</v>
      </c>
      <c r="GB34" s="655">
        <f>+GA34+1</f>
        <v>12</v>
      </c>
      <c r="GW34" s="780" t="s">
        <v>420</v>
      </c>
      <c r="GX34" s="782">
        <v>4</v>
      </c>
      <c r="GY34" s="782">
        <v>10</v>
      </c>
      <c r="GZ34" s="782">
        <v>11</v>
      </c>
      <c r="HA34" s="782"/>
      <c r="HB34" s="782"/>
      <c r="HC34" s="782"/>
      <c r="HD34" s="209"/>
      <c r="HG34" s="209"/>
      <c r="HH34" s="209"/>
      <c r="HI34" s="209"/>
      <c r="HJ34" s="209"/>
      <c r="HK34" s="209"/>
      <c r="HL34" s="209"/>
      <c r="HM34" s="209"/>
      <c r="HU34" s="465"/>
      <c r="HZ34" s="620"/>
      <c r="IA34" s="530"/>
      <c r="IP34" s="530"/>
      <c r="JF34" s="660"/>
      <c r="JG34" s="660"/>
      <c r="JH34" s="660"/>
      <c r="JI34" s="660"/>
      <c r="JJ34" s="660"/>
      <c r="JK34" s="660"/>
      <c r="JL34" s="660"/>
      <c r="JM34" s="660"/>
      <c r="JN34" s="660"/>
      <c r="JO34" s="660"/>
    </row>
    <row r="35" spans="7:275" ht="16.5" x14ac:dyDescent="0.3">
      <c r="G35" s="620"/>
      <c r="H35" s="530"/>
      <c r="L35" s="209"/>
      <c r="M35" s="209"/>
      <c r="N35" s="209"/>
      <c r="O35" s="209"/>
      <c r="P35" s="209"/>
      <c r="Q35" s="209"/>
      <c r="S35" s="620"/>
      <c r="T35" s="530"/>
      <c r="AA35" s="620"/>
      <c r="AB35" s="530"/>
      <c r="AH35" s="620"/>
      <c r="AI35" s="530"/>
      <c r="AJ35" s="530"/>
      <c r="AK35" s="530"/>
      <c r="AL35" s="530"/>
      <c r="BB35" s="620"/>
      <c r="BC35" s="530"/>
      <c r="BI35" s="620"/>
      <c r="BJ35" s="530"/>
      <c r="BM35" s="660"/>
      <c r="BN35" s="660"/>
      <c r="BO35" s="660"/>
      <c r="BP35" s="660"/>
      <c r="BQ35" s="660"/>
      <c r="BR35" s="660"/>
      <c r="BS35" s="660"/>
      <c r="BU35" s="620"/>
      <c r="BV35" s="623"/>
      <c r="BW35" s="190"/>
      <c r="BX35" s="190"/>
      <c r="BY35" s="190"/>
      <c r="BZ35" s="190"/>
      <c r="CA35" s="190"/>
      <c r="CB35" s="190"/>
      <c r="CC35" s="190"/>
      <c r="CD35" s="190"/>
      <c r="CF35" s="620"/>
      <c r="CG35" s="530"/>
      <c r="CS35" s="620"/>
      <c r="CT35" s="530"/>
      <c r="DD35" s="190"/>
      <c r="DE35" s="620"/>
      <c r="DT35" s="620"/>
      <c r="EC35" s="620"/>
      <c r="ED35" s="530"/>
      <c r="EK35" s="620"/>
      <c r="EL35" s="530"/>
      <c r="EZ35" s="620"/>
      <c r="FA35" s="530"/>
      <c r="FF35" s="620"/>
      <c r="GW35" s="706" t="s">
        <v>415</v>
      </c>
      <c r="GX35" s="782">
        <v>2</v>
      </c>
      <c r="GY35" s="782">
        <f>GX35+1</f>
        <v>3</v>
      </c>
      <c r="GZ35" s="782">
        <f>GY35+1</f>
        <v>4</v>
      </c>
      <c r="HA35" s="782">
        <f>GZ35+1</f>
        <v>5</v>
      </c>
      <c r="HB35" s="782">
        <f>HA35+1</f>
        <v>6</v>
      </c>
      <c r="HC35" s="782">
        <f>HB35+1</f>
        <v>7</v>
      </c>
      <c r="HD35" s="209"/>
      <c r="HG35" s="209"/>
      <c r="HH35" s="209"/>
      <c r="HI35" s="209"/>
      <c r="HJ35" s="209"/>
      <c r="HK35" s="209"/>
      <c r="HL35" s="209"/>
      <c r="HM35" s="209"/>
      <c r="HU35" s="236"/>
      <c r="HZ35" s="620"/>
      <c r="IA35" s="530"/>
      <c r="IP35" s="530"/>
    </row>
    <row r="36" spans="7:275" x14ac:dyDescent="0.25">
      <c r="L36" s="209"/>
      <c r="M36" s="209"/>
      <c r="N36" s="209"/>
      <c r="O36" s="209"/>
      <c r="P36" s="209"/>
      <c r="Q36" s="209"/>
      <c r="AM36" s="631"/>
      <c r="AN36" s="632"/>
      <c r="BV36" s="190"/>
      <c r="BW36" s="190"/>
      <c r="BX36" s="190"/>
      <c r="BY36" s="190"/>
      <c r="BZ36" s="190"/>
      <c r="CA36" s="190"/>
      <c r="CB36" s="190"/>
      <c r="CC36" s="190"/>
      <c r="CD36" s="190"/>
      <c r="CG36" s="530"/>
      <c r="DD36" s="190"/>
    </row>
    <row r="37" spans="7:275" x14ac:dyDescent="0.25">
      <c r="BV37" s="190"/>
      <c r="BW37" s="190"/>
      <c r="BX37" s="190"/>
      <c r="BY37" s="190"/>
      <c r="BZ37" s="190"/>
      <c r="CA37" s="190"/>
      <c r="CB37" s="190"/>
      <c r="CC37" s="190"/>
      <c r="CD37" s="190"/>
      <c r="DD37" s="190"/>
    </row>
    <row r="38" spans="7:275" x14ac:dyDescent="0.25">
      <c r="BV38" s="190"/>
      <c r="BW38" s="190"/>
      <c r="BX38" s="190"/>
      <c r="BY38" s="190"/>
      <c r="BZ38" s="190"/>
      <c r="CA38" s="190"/>
      <c r="CB38" s="190"/>
      <c r="CC38" s="190"/>
      <c r="CD38" s="190"/>
      <c r="DD38" s="190"/>
    </row>
    <row r="39" spans="7:275" x14ac:dyDescent="0.25">
      <c r="BV39" s="190"/>
      <c r="BW39" s="190"/>
      <c r="BX39" s="190"/>
      <c r="BY39" s="190"/>
      <c r="BZ39" s="190"/>
      <c r="CA39" s="190"/>
      <c r="CB39" s="190"/>
      <c r="CC39" s="190"/>
      <c r="CD39" s="190"/>
      <c r="DD39" s="190"/>
    </row>
    <row r="40" spans="7:275" x14ac:dyDescent="0.25">
      <c r="BV40" s="190"/>
      <c r="BW40" s="190"/>
      <c r="BX40" s="190"/>
      <c r="BY40" s="190"/>
      <c r="BZ40" s="190"/>
      <c r="CA40" s="190"/>
      <c r="CB40" s="190"/>
      <c r="CC40" s="190"/>
      <c r="CD40" s="190"/>
      <c r="DD40" s="190"/>
    </row>
    <row r="41" spans="7:275" x14ac:dyDescent="0.25">
      <c r="BV41" s="190"/>
      <c r="BW41" s="190"/>
      <c r="BX41" s="190"/>
      <c r="BY41" s="190"/>
      <c r="BZ41" s="190"/>
      <c r="CA41" s="190"/>
      <c r="CB41" s="190"/>
      <c r="CC41" s="190"/>
      <c r="CD41" s="190"/>
      <c r="DD41" s="190"/>
    </row>
    <row r="42" spans="7:275" x14ac:dyDescent="0.25">
      <c r="BV42" s="190"/>
      <c r="BW42" s="190"/>
      <c r="BX42" s="190"/>
      <c r="BY42" s="190"/>
      <c r="BZ42" s="190"/>
      <c r="CA42" s="190"/>
      <c r="CB42" s="190"/>
      <c r="CC42" s="190"/>
      <c r="CD42" s="190"/>
      <c r="DD42" s="190"/>
    </row>
    <row r="43" spans="7:275" x14ac:dyDescent="0.25">
      <c r="BV43" s="190"/>
      <c r="BW43" s="190"/>
      <c r="BX43" s="190"/>
      <c r="BY43" s="190"/>
      <c r="BZ43" s="190"/>
      <c r="CA43" s="190"/>
      <c r="CB43" s="190"/>
      <c r="CC43" s="190"/>
      <c r="CD43" s="190"/>
      <c r="DD43" s="190"/>
    </row>
    <row r="44" spans="7:275" x14ac:dyDescent="0.25">
      <c r="BV44" s="190"/>
      <c r="BW44" s="190"/>
      <c r="BX44" s="190"/>
      <c r="BY44" s="190"/>
      <c r="BZ44" s="190"/>
      <c r="CA44" s="190"/>
      <c r="CB44" s="190"/>
      <c r="CC44" s="190"/>
      <c r="CD44" s="190"/>
      <c r="DD44" s="190"/>
    </row>
    <row r="45" spans="7:275" x14ac:dyDescent="0.25">
      <c r="BV45" s="190"/>
      <c r="BW45" s="190"/>
      <c r="BX45" s="190"/>
      <c r="BY45" s="190"/>
      <c r="BZ45" s="190"/>
      <c r="CA45" s="190"/>
      <c r="CB45" s="190"/>
      <c r="CC45" s="190"/>
      <c r="CD45" s="190"/>
      <c r="DD45" s="190"/>
    </row>
    <row r="46" spans="7:275" x14ac:dyDescent="0.25">
      <c r="BV46" s="190"/>
      <c r="BW46" s="190"/>
      <c r="BX46" s="190"/>
      <c r="BY46" s="190"/>
      <c r="BZ46" s="190"/>
      <c r="CA46" s="190"/>
      <c r="CB46" s="190"/>
      <c r="CC46" s="190"/>
      <c r="CD46" s="190"/>
      <c r="DD46" s="190"/>
    </row>
    <row r="47" spans="7:275" x14ac:dyDescent="0.25">
      <c r="BV47" s="190"/>
      <c r="BW47" s="190"/>
      <c r="BX47" s="190"/>
      <c r="BY47" s="190"/>
      <c r="BZ47" s="190"/>
      <c r="CA47" s="190"/>
      <c r="CB47" s="190"/>
      <c r="CC47" s="190"/>
      <c r="CD47" s="190"/>
      <c r="DD47" s="190"/>
    </row>
    <row r="48" spans="7:275" x14ac:dyDescent="0.25">
      <c r="BV48" s="190"/>
      <c r="BW48" s="190"/>
      <c r="BX48" s="190"/>
      <c r="BY48" s="190"/>
      <c r="BZ48" s="190"/>
      <c r="CA48" s="190"/>
      <c r="CB48" s="190"/>
      <c r="CC48" s="190"/>
      <c r="CD48" s="190"/>
      <c r="DD48" s="190"/>
    </row>
    <row r="49" spans="74:108" x14ac:dyDescent="0.25">
      <c r="BV49" s="190"/>
      <c r="BW49" s="190"/>
      <c r="BX49" s="190"/>
      <c r="BY49" s="190"/>
      <c r="BZ49" s="190"/>
      <c r="CA49" s="190"/>
      <c r="CB49" s="190"/>
      <c r="CC49" s="190"/>
      <c r="CD49" s="190"/>
      <c r="DD49" s="190"/>
    </row>
    <row r="50" spans="74:108" x14ac:dyDescent="0.25">
      <c r="BV50" s="190"/>
      <c r="BW50" s="190"/>
      <c r="BX50" s="190"/>
      <c r="BY50" s="190"/>
      <c r="BZ50" s="190"/>
      <c r="CA50" s="190"/>
      <c r="CB50" s="190"/>
      <c r="CC50" s="190"/>
      <c r="CD50" s="190"/>
      <c r="DD50" s="190"/>
    </row>
  </sheetData>
  <mergeCells count="26">
    <mergeCell ref="AP1:AZ1"/>
    <mergeCell ref="BD1:BG1"/>
    <mergeCell ref="BK1:BS1"/>
    <mergeCell ref="BW1:CD1"/>
    <mergeCell ref="CH1:CQ1"/>
    <mergeCell ref="CU1:DC1"/>
    <mergeCell ref="EM1:EX1"/>
    <mergeCell ref="FB1:FD1"/>
    <mergeCell ref="FH1:FM1"/>
    <mergeCell ref="FQ1:GB1"/>
    <mergeCell ref="DG1:DR1"/>
    <mergeCell ref="A1:E1"/>
    <mergeCell ref="I1:Q1"/>
    <mergeCell ref="U1:Y1"/>
    <mergeCell ref="AC1:AF1"/>
    <mergeCell ref="AJ1:AL1"/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</mergeCells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0660-7411-43D9-B529-1C28173A609D}">
  <sheetPr>
    <tabColor theme="3" tint="0.39997558519241921"/>
    <pageSetUpPr fitToPage="1"/>
  </sheetPr>
  <dimension ref="A1:OO54"/>
  <sheetViews>
    <sheetView zoomScale="80" zoomScaleNormal="80" workbookViewId="0">
      <selection activeCell="L32" sqref="L32"/>
    </sheetView>
  </sheetViews>
  <sheetFormatPr defaultColWidth="9.85546875" defaultRowHeight="15" x14ac:dyDescent="0.25"/>
  <cols>
    <col min="1" max="1" width="1.140625" style="12" customWidth="1"/>
    <col min="2" max="2" width="3.85546875" style="12" customWidth="1"/>
    <col min="3" max="4" width="2.28515625" style="12" customWidth="1"/>
    <col min="5" max="5" width="31.5703125" style="12" customWidth="1"/>
    <col min="6" max="6" width="18.140625" style="12" customWidth="1"/>
    <col min="7" max="7" width="11.5703125" style="12" customWidth="1"/>
    <col min="8" max="8" width="17" style="12" customWidth="1"/>
    <col min="9" max="9" width="11.42578125" style="12" customWidth="1"/>
    <col min="10" max="11" width="16.42578125" style="12" customWidth="1"/>
    <col min="12" max="12" width="11" style="12" customWidth="1"/>
    <col min="13" max="13" width="15.85546875" style="12" customWidth="1"/>
    <col min="14" max="14" width="17" style="12" customWidth="1"/>
    <col min="15" max="15" width="11.42578125" style="12" customWidth="1"/>
    <col min="16" max="16" width="17.5703125" style="12" customWidth="1"/>
    <col min="17" max="18" width="16.42578125" style="12" customWidth="1"/>
    <col min="19" max="19" width="6.5703125" style="12" customWidth="1"/>
    <col min="20" max="20" width="6.5703125" style="13" customWidth="1"/>
    <col min="21" max="21" width="6.5703125" style="12" customWidth="1"/>
    <col min="22" max="22" width="4.42578125" style="12" customWidth="1"/>
    <col min="23" max="23" width="59" style="12" customWidth="1"/>
    <col min="24" max="27" width="14.140625" style="12" customWidth="1"/>
    <col min="28" max="28" width="2.85546875" style="12" customWidth="1"/>
    <col min="29" max="29" width="5.5703125" style="12" customWidth="1"/>
    <col min="30" max="30" width="6" style="13" customWidth="1"/>
    <col min="31" max="31" width="6" style="12" customWidth="1"/>
    <col min="32" max="32" width="4.42578125" style="12" customWidth="1"/>
    <col min="33" max="33" width="25.7109375" style="12" customWidth="1"/>
    <col min="34" max="36" width="19.140625" style="12" customWidth="1"/>
    <col min="37" max="37" width="6.5703125" style="12" customWidth="1"/>
    <col min="38" max="38" width="3.85546875" style="13" customWidth="1"/>
    <col min="39" max="39" width="2.28515625" style="12" customWidth="1"/>
    <col min="40" max="40" width="3.85546875" style="12" customWidth="1"/>
    <col min="41" max="42" width="2.28515625" style="12" customWidth="1"/>
    <col min="43" max="43" width="23.7109375" style="12" customWidth="1"/>
    <col min="44" max="44" width="2.42578125" style="12" customWidth="1"/>
    <col min="45" max="45" width="15.85546875" style="12" hidden="1" customWidth="1"/>
    <col min="46" max="46" width="16.42578125" style="12" hidden="1" customWidth="1"/>
    <col min="47" max="47" width="2.28515625" style="12" hidden="1" customWidth="1"/>
    <col min="48" max="48" width="14.7109375" style="12" hidden="1" customWidth="1"/>
    <col min="49" max="49" width="15.85546875" style="12" hidden="1" customWidth="1"/>
    <col min="50" max="50" width="11.5703125" style="12" hidden="1" customWidth="1"/>
    <col min="51" max="51" width="1.7109375" style="12" hidden="1" customWidth="1"/>
    <col min="52" max="52" width="14.7109375" style="12" hidden="1" customWidth="1"/>
    <col min="53" max="53" width="15.85546875" style="12" hidden="1" customWidth="1"/>
    <col min="54" max="54" width="11.5703125" style="12" hidden="1" customWidth="1"/>
    <col min="55" max="55" width="2.28515625" style="12" hidden="1" customWidth="1"/>
    <col min="56" max="56" width="14.7109375" style="12" hidden="1" customWidth="1"/>
    <col min="57" max="57" width="15.85546875" style="12" hidden="1" customWidth="1"/>
    <col min="58" max="58" width="11.5703125" style="12" hidden="1" customWidth="1"/>
    <col min="59" max="59" width="2.28515625" style="12" hidden="1" customWidth="1"/>
    <col min="60" max="60" width="14.7109375" style="12" hidden="1" customWidth="1"/>
    <col min="61" max="61" width="15.85546875" style="12" hidden="1" customWidth="1"/>
    <col min="62" max="62" width="11.5703125" style="12" hidden="1" customWidth="1"/>
    <col min="63" max="63" width="1.7109375" style="12" hidden="1" customWidth="1"/>
    <col min="64" max="64" width="14.7109375" style="12" hidden="1" customWidth="1"/>
    <col min="65" max="65" width="15.85546875" style="12" hidden="1" customWidth="1"/>
    <col min="66" max="66" width="11.5703125" style="12" hidden="1" customWidth="1"/>
    <col min="67" max="67" width="1.7109375" style="12" hidden="1" customWidth="1"/>
    <col min="68" max="68" width="14.7109375" style="12" hidden="1" customWidth="1"/>
    <col min="69" max="69" width="15.85546875" style="12" hidden="1" customWidth="1"/>
    <col min="70" max="70" width="11.5703125" style="12" hidden="1" customWidth="1"/>
    <col min="71" max="71" width="1.7109375" style="12" hidden="1" customWidth="1"/>
    <col min="72" max="72" width="17.5703125" style="12" hidden="1" customWidth="1"/>
    <col min="73" max="80" width="15.85546875" style="12" hidden="1" customWidth="1"/>
    <col min="81" max="81" width="15.85546875" style="12" customWidth="1"/>
    <col min="82" max="82" width="14.7109375" style="12" customWidth="1"/>
    <col min="83" max="83" width="15.85546875" style="12" hidden="1" customWidth="1"/>
    <col min="84" max="84" width="17.5703125" style="12" customWidth="1"/>
    <col min="85" max="85" width="14.42578125" style="12" customWidth="1"/>
    <col min="86" max="86" width="10.5703125" style="12" bestFit="1" customWidth="1"/>
    <col min="87" max="87" width="13.5703125" style="12" customWidth="1"/>
    <col min="88" max="88" width="12.5703125" style="12" bestFit="1" customWidth="1"/>
    <col min="89" max="89" width="9.85546875" style="12" customWidth="1"/>
    <col min="90" max="90" width="2.85546875" style="13" customWidth="1"/>
    <col min="91" max="91" width="2.85546875" style="12" customWidth="1"/>
    <col min="92" max="92" width="4.42578125" style="12" customWidth="1"/>
    <col min="93" max="93" width="16.42578125" style="12" customWidth="1"/>
    <col min="94" max="94" width="14.85546875" style="12" customWidth="1"/>
    <col min="95" max="95" width="16.42578125" style="12" bestFit="1" customWidth="1"/>
    <col min="96" max="96" width="14.85546875" style="12" customWidth="1"/>
    <col min="97" max="97" width="16.7109375" style="12" bestFit="1" customWidth="1"/>
    <col min="98" max="98" width="14.85546875" style="12" customWidth="1"/>
    <col min="99" max="99" width="16.7109375" style="12" customWidth="1"/>
    <col min="100" max="100" width="14.85546875" style="12" customWidth="1"/>
    <col min="101" max="101" width="16.7109375" style="12" bestFit="1" customWidth="1"/>
    <col min="102" max="102" width="2.85546875" style="12" customWidth="1"/>
    <col min="103" max="103" width="2.85546875" style="13" customWidth="1"/>
    <col min="104" max="104" width="2.85546875" style="12" customWidth="1"/>
    <col min="105" max="105" width="5" style="12" customWidth="1"/>
    <col min="106" max="106" width="16.42578125" style="12" customWidth="1"/>
    <col min="107" max="107" width="15.85546875" style="12" customWidth="1"/>
    <col min="108" max="108" width="15.85546875" style="16" customWidth="1"/>
    <col min="109" max="110" width="15.85546875" style="12" customWidth="1"/>
    <col min="111" max="111" width="19.140625" style="12" customWidth="1"/>
    <col min="112" max="112" width="2.85546875" style="12" customWidth="1"/>
    <col min="113" max="113" width="2.85546875" style="13" customWidth="1"/>
    <col min="114" max="114" width="2.85546875" style="12" customWidth="1"/>
    <col min="115" max="115" width="5" style="12" customWidth="1"/>
    <col min="116" max="116" width="14.85546875" style="12" customWidth="1"/>
    <col min="117" max="117" width="17" style="12" customWidth="1"/>
    <col min="118" max="118" width="17" style="16" customWidth="1"/>
    <col min="119" max="120" width="17" style="12" customWidth="1"/>
    <col min="121" max="121" width="2.85546875" style="12" customWidth="1"/>
    <col min="122" max="122" width="2.85546875" style="13" customWidth="1"/>
    <col min="123" max="123" width="2.28515625" style="12" customWidth="1"/>
    <col min="124" max="124" width="5" style="12" customWidth="1"/>
    <col min="125" max="125" width="33.28515625" style="17" customWidth="1"/>
    <col min="126" max="126" width="14.85546875" style="18" customWidth="1"/>
    <col min="127" max="127" width="15.85546875" style="18" customWidth="1"/>
    <col min="128" max="128" width="15.85546875" style="18" bestFit="1" customWidth="1"/>
    <col min="129" max="129" width="16.42578125" style="18" bestFit="1" customWidth="1"/>
    <col min="130" max="131" width="14.85546875" style="12" customWidth="1"/>
    <col min="132" max="133" width="16.42578125" style="12" bestFit="1" customWidth="1"/>
    <col min="134" max="134" width="2.85546875" style="12" customWidth="1"/>
    <col min="135" max="135" width="2.85546875" style="13" customWidth="1"/>
    <col min="136" max="136" width="2.85546875" style="12" customWidth="1"/>
    <col min="137" max="137" width="5" style="12" customWidth="1"/>
    <col min="138" max="138" width="16.42578125" style="12" customWidth="1"/>
    <col min="139" max="146" width="14.85546875" style="12" customWidth="1"/>
    <col min="147" max="147" width="2.85546875" style="12" customWidth="1"/>
    <col min="148" max="148" width="2.85546875" style="13" customWidth="1"/>
    <col min="149" max="149" width="2.85546875" style="12" customWidth="1"/>
    <col min="150" max="150" width="4.42578125" style="12" customWidth="1"/>
    <col min="151" max="151" width="15.85546875" style="12" customWidth="1"/>
    <col min="152" max="153" width="14.85546875" style="12" bestFit="1" customWidth="1"/>
    <col min="154" max="154" width="14" style="12" bestFit="1" customWidth="1"/>
    <col min="155" max="155" width="14.85546875" style="12" bestFit="1" customWidth="1"/>
    <col min="156" max="156" width="13.7109375" style="12" customWidth="1"/>
    <col min="157" max="158" width="14.85546875" style="12" bestFit="1" customWidth="1"/>
    <col min="159" max="159" width="15.140625" style="12" bestFit="1" customWidth="1"/>
    <col min="160" max="160" width="15.85546875" style="12" customWidth="1"/>
    <col min="161" max="161" width="21" style="12" customWidth="1"/>
    <col min="162" max="162" width="15.85546875" style="12" customWidth="1"/>
    <col min="163" max="163" width="2.85546875" style="12" customWidth="1"/>
    <col min="164" max="164" width="2.85546875" style="13" customWidth="1"/>
    <col min="165" max="165" width="2.85546875" style="12" customWidth="1"/>
    <col min="166" max="166" width="5" style="12" customWidth="1"/>
    <col min="167" max="167" width="1.140625" style="12" customWidth="1"/>
    <col min="168" max="168" width="36.5703125" style="12" customWidth="1"/>
    <col min="169" max="170" width="14.85546875" style="12" bestFit="1" customWidth="1"/>
    <col min="171" max="171" width="15.140625" style="12" bestFit="1" customWidth="1"/>
    <col min="172" max="172" width="16.42578125" style="12" bestFit="1" customWidth="1"/>
    <col min="173" max="173" width="14.28515625" style="12" bestFit="1" customWidth="1"/>
    <col min="174" max="175" width="15.140625" style="12" bestFit="1" customWidth="1"/>
    <col min="176" max="176" width="14.85546875" style="12" bestFit="1" customWidth="1"/>
    <col min="177" max="177" width="20.28515625" style="12" customWidth="1"/>
    <col min="178" max="178" width="2.85546875" style="12" customWidth="1"/>
    <col min="179" max="179" width="2.85546875" style="13" customWidth="1"/>
    <col min="180" max="180" width="2.85546875" style="12" customWidth="1"/>
    <col min="181" max="181" width="9.85546875" style="12" customWidth="1"/>
    <col min="182" max="182" width="26.28515625" style="12" customWidth="1"/>
    <col min="183" max="183" width="12.85546875" style="12" bestFit="1" customWidth="1"/>
    <col min="184" max="184" width="12.5703125" style="12" bestFit="1" customWidth="1"/>
    <col min="185" max="185" width="14.28515625" style="12" bestFit="1" customWidth="1"/>
    <col min="186" max="186" width="15.140625" style="12" bestFit="1" customWidth="1"/>
    <col min="187" max="187" width="11" style="12" bestFit="1" customWidth="1"/>
    <col min="188" max="188" width="11.7109375" style="12" customWidth="1"/>
    <col min="189" max="189" width="12.140625" style="12" bestFit="1" customWidth="1"/>
    <col min="190" max="190" width="12.5703125" style="12" bestFit="1" customWidth="1"/>
    <col min="191" max="191" width="2.85546875" style="12" customWidth="1"/>
    <col min="192" max="192" width="2.85546875" style="13" customWidth="1"/>
    <col min="193" max="193" width="2.85546875" style="12" customWidth="1"/>
    <col min="194" max="194" width="5" style="12" customWidth="1"/>
    <col min="195" max="195" width="15.85546875" style="12" customWidth="1"/>
    <col min="196" max="198" width="16.42578125" style="12" customWidth="1"/>
    <col min="199" max="199" width="18.42578125" style="12" bestFit="1" customWidth="1"/>
    <col min="200" max="203" width="16.42578125" style="12" customWidth="1"/>
    <col min="204" max="204" width="2.85546875" style="12" customWidth="1"/>
    <col min="205" max="205" width="2.85546875" style="13" customWidth="1"/>
    <col min="206" max="206" width="2.85546875" style="12" customWidth="1"/>
    <col min="207" max="207" width="2.7109375" style="12" customWidth="1"/>
    <col min="208" max="208" width="5.42578125" style="12" customWidth="1"/>
    <col min="209" max="209" width="8.85546875" style="12" bestFit="1" customWidth="1"/>
    <col min="210" max="210" width="15" style="12" bestFit="1" customWidth="1"/>
    <col min="211" max="211" width="14.42578125" style="12" bestFit="1" customWidth="1"/>
    <col min="212" max="213" width="21.85546875" style="12" bestFit="1" customWidth="1"/>
    <col min="214" max="214" width="8.140625" style="12" bestFit="1" customWidth="1"/>
    <col min="215" max="215" width="9.5703125" style="12" bestFit="1" customWidth="1"/>
    <col min="216" max="218" width="9.85546875" style="12" bestFit="1" customWidth="1"/>
    <col min="219" max="219" width="3.85546875" style="12" customWidth="1"/>
    <col min="220" max="220" width="3.85546875" style="13" customWidth="1"/>
    <col min="221" max="221" width="3.85546875" style="12" customWidth="1"/>
    <col min="222" max="222" width="5" style="12" customWidth="1"/>
    <col min="223" max="223" width="10.85546875" style="12" customWidth="1"/>
    <col min="224" max="224" width="11.28515625" style="12" customWidth="1"/>
    <col min="225" max="225" width="18.42578125" style="12" customWidth="1"/>
    <col min="226" max="226" width="14.42578125" style="12" bestFit="1" customWidth="1"/>
    <col min="227" max="227" width="17.85546875" style="12" bestFit="1" customWidth="1"/>
    <col min="228" max="228" width="18.140625" style="12" bestFit="1" customWidth="1"/>
    <col min="229" max="229" width="16.7109375" style="12" bestFit="1" customWidth="1"/>
    <col min="230" max="230" width="15.85546875" style="12" bestFit="1" customWidth="1"/>
    <col min="231" max="232" width="14.85546875" style="12" customWidth="1"/>
    <col min="233" max="233" width="15.5703125" style="12" bestFit="1" customWidth="1"/>
    <col min="234" max="234" width="14.7109375" style="12" bestFit="1" customWidth="1"/>
    <col min="235" max="235" width="3.85546875" style="12" customWidth="1"/>
    <col min="236" max="236" width="3.85546875" style="13" customWidth="1"/>
    <col min="237" max="237" width="3.85546875" style="12" customWidth="1"/>
    <col min="238" max="238" width="5" style="12" customWidth="1"/>
    <col min="239" max="239" width="15.42578125" style="12" customWidth="1"/>
    <col min="240" max="240" width="8.140625" style="12" customWidth="1"/>
    <col min="241" max="241" width="9.85546875" style="12" customWidth="1"/>
    <col min="242" max="243" width="16.7109375" style="12" bestFit="1" customWidth="1"/>
    <col min="244" max="244" width="14.85546875" style="12" bestFit="1" customWidth="1"/>
    <col min="245" max="245" width="14.85546875" style="411" bestFit="1" customWidth="1"/>
    <col min="246" max="246" width="16.42578125" style="12" bestFit="1" customWidth="1"/>
    <col min="247" max="247" width="15.42578125" style="411" bestFit="1" customWidth="1"/>
    <col min="248" max="248" width="16.42578125" style="12" bestFit="1" customWidth="1"/>
    <col min="249" max="249" width="15.85546875" style="12" bestFit="1" customWidth="1"/>
    <col min="250" max="250" width="15.140625" style="12" bestFit="1" customWidth="1"/>
    <col min="251" max="251" width="14.28515625" style="12" bestFit="1" customWidth="1"/>
    <col min="252" max="253" width="14.85546875" style="12" bestFit="1" customWidth="1"/>
    <col min="254" max="255" width="15.140625" style="12" bestFit="1" customWidth="1"/>
    <col min="256" max="256" width="14.85546875" style="12" bestFit="1" customWidth="1"/>
    <col min="257" max="257" width="16.42578125" style="12" bestFit="1" customWidth="1"/>
    <col min="258" max="258" width="21.85546875" style="12" customWidth="1"/>
    <col min="259" max="259" width="25.7109375" style="12" customWidth="1"/>
    <col min="260" max="260" width="19.7109375" style="12" bestFit="1" customWidth="1"/>
    <col min="261" max="261" width="3.28515625" style="12" customWidth="1"/>
    <col min="262" max="262" width="3.28515625" style="13" customWidth="1"/>
    <col min="263" max="263" width="2.28515625" style="12" customWidth="1"/>
    <col min="264" max="264" width="6.140625" style="12" customWidth="1"/>
    <col min="265" max="265" width="9.42578125" style="12" customWidth="1"/>
    <col min="266" max="266" width="8.42578125" style="12" bestFit="1" customWidth="1"/>
    <col min="267" max="267" width="9.42578125" style="12" customWidth="1"/>
    <col min="268" max="269" width="15.85546875" style="12" customWidth="1"/>
    <col min="270" max="270" width="8.28515625" style="12" customWidth="1"/>
    <col min="271" max="271" width="9.42578125" style="12" customWidth="1"/>
    <col min="272" max="272" width="8.42578125" style="12" bestFit="1" customWidth="1"/>
    <col min="273" max="273" width="9.85546875" style="12" customWidth="1"/>
    <col min="274" max="274" width="3.85546875" style="12" customWidth="1"/>
    <col min="275" max="275" width="3.85546875" style="13" customWidth="1"/>
    <col min="276" max="276" width="3.85546875" style="12" customWidth="1"/>
    <col min="277" max="277" width="4.85546875" style="12" customWidth="1"/>
    <col min="278" max="278" width="12" style="12" customWidth="1"/>
    <col min="279" max="279" width="11.5703125" style="12" customWidth="1"/>
    <col min="280" max="282" width="12.5703125" style="12" customWidth="1"/>
    <col min="283" max="284" width="18.140625" style="12" bestFit="1" customWidth="1"/>
    <col min="285" max="285" width="15.85546875" style="12" bestFit="1" customWidth="1"/>
    <col min="286" max="286" width="17.28515625" style="12" bestFit="1" customWidth="1"/>
    <col min="287" max="288" width="15.140625" style="12" bestFit="1" customWidth="1"/>
    <col min="289" max="289" width="16.7109375" style="12" bestFit="1" customWidth="1"/>
    <col min="290" max="290" width="17.85546875" style="12" bestFit="1" customWidth="1"/>
    <col min="291" max="291" width="3.85546875" style="12" customWidth="1"/>
    <col min="292" max="292" width="3.85546875" style="13" customWidth="1"/>
    <col min="293" max="293" width="3.85546875" style="12" customWidth="1"/>
    <col min="294" max="294" width="4.85546875" style="12" customWidth="1"/>
    <col min="295" max="295" width="20.5703125" style="12" customWidth="1"/>
    <col min="296" max="296" width="11" style="12" customWidth="1"/>
    <col min="297" max="297" width="16.7109375" style="12" customWidth="1"/>
    <col min="298" max="298" width="15.85546875" style="12" bestFit="1" customWidth="1"/>
    <col min="299" max="299" width="16.7109375" style="12" bestFit="1" customWidth="1"/>
    <col min="300" max="300" width="14.28515625" style="12" customWidth="1"/>
    <col min="301" max="301" width="14.28515625" style="411" customWidth="1"/>
    <col min="302" max="302" width="14.28515625" style="12" customWidth="1"/>
    <col min="303" max="303" width="16.42578125" style="411" bestFit="1" customWidth="1"/>
    <col min="304" max="304" width="14.28515625" style="411" customWidth="1"/>
    <col min="305" max="305" width="16.42578125" style="12" bestFit="1" customWidth="1"/>
    <col min="306" max="306" width="14.28515625" style="12" customWidth="1"/>
    <col min="307" max="307" width="15.140625" style="12" bestFit="1" customWidth="1"/>
    <col min="308" max="311" width="14.28515625" style="12" customWidth="1"/>
    <col min="312" max="312" width="15.42578125" style="12" bestFit="1" customWidth="1"/>
    <col min="313" max="313" width="16.42578125" style="12" bestFit="1" customWidth="1"/>
    <col min="314" max="314" width="17" style="12" customWidth="1"/>
    <col min="315" max="315" width="16.7109375" style="12" bestFit="1" customWidth="1"/>
    <col min="316" max="316" width="6.5703125" style="12" customWidth="1"/>
    <col min="317" max="317" width="2.28515625" style="13" customWidth="1"/>
    <col min="318" max="319" width="6.5703125" style="12" customWidth="1"/>
    <col min="320" max="320" width="9.42578125" style="12" customWidth="1"/>
    <col min="321" max="321" width="18" style="12" customWidth="1"/>
    <col min="322" max="322" width="17.5703125" style="12" customWidth="1"/>
    <col min="323" max="323" width="17.85546875" style="12" bestFit="1" customWidth="1"/>
    <col min="324" max="324" width="16.7109375" style="12" bestFit="1" customWidth="1"/>
    <col min="325" max="325" width="16.42578125" style="12" bestFit="1" customWidth="1"/>
    <col min="326" max="326" width="16.7109375" style="12" bestFit="1" customWidth="1"/>
    <col min="327" max="328" width="15.140625" style="12" bestFit="1" customWidth="1"/>
    <col min="329" max="329" width="16.7109375" style="12" bestFit="1" customWidth="1"/>
    <col min="330" max="330" width="9.85546875" style="12"/>
    <col min="331" max="331" width="2.7109375" style="13" customWidth="1"/>
    <col min="332" max="332" width="2.7109375" style="12" customWidth="1"/>
    <col min="333" max="333" width="15.85546875" style="12" customWidth="1"/>
    <col min="334" max="334" width="32.28515625" style="12" bestFit="1" customWidth="1"/>
    <col min="335" max="335" width="15.85546875" style="12" customWidth="1"/>
    <col min="336" max="336" width="2.7109375" style="12" customWidth="1"/>
    <col min="337" max="337" width="2.7109375" style="13" customWidth="1"/>
    <col min="338" max="338" width="2.7109375" style="12" customWidth="1"/>
    <col min="339" max="339" width="3.85546875" style="18" customWidth="1"/>
    <col min="340" max="340" width="58.42578125" style="18" customWidth="1"/>
    <col min="341" max="341" width="17.5703125" style="12" bestFit="1" customWidth="1"/>
    <col min="342" max="342" width="19.5703125" style="12" customWidth="1"/>
    <col min="343" max="343" width="16.42578125" style="12" hidden="1" customWidth="1"/>
    <col min="344" max="344" width="20.85546875" style="12" bestFit="1" customWidth="1"/>
    <col min="345" max="345" width="20.7109375" style="12" customWidth="1"/>
    <col min="346" max="346" width="3.85546875" style="12" customWidth="1"/>
    <col min="347" max="347" width="2.7109375" style="13" customWidth="1"/>
    <col min="348" max="348" width="2.7109375" style="12" customWidth="1"/>
    <col min="349" max="349" width="4.42578125" style="12" bestFit="1" customWidth="1"/>
    <col min="350" max="350" width="57.85546875" style="411" bestFit="1" customWidth="1"/>
    <col min="351" max="351" width="24.85546875" style="12" customWidth="1"/>
    <col min="352" max="352" width="25.5703125" style="12" bestFit="1" customWidth="1"/>
    <col min="353" max="353" width="17.5703125" style="12" bestFit="1" customWidth="1"/>
    <col min="354" max="354" width="13.5703125" style="12" customWidth="1"/>
    <col min="355" max="355" width="3.85546875" style="12" customWidth="1"/>
    <col min="356" max="356" width="2.7109375" style="13" customWidth="1"/>
    <col min="357" max="357" width="2.7109375" style="12" customWidth="1"/>
    <col min="358" max="405" width="9.85546875" style="29"/>
    <col min="406" max="16384" width="9.85546875" style="12"/>
  </cols>
  <sheetData>
    <row r="1" spans="1:405" s="5" customFormat="1" ht="16.5" x14ac:dyDescent="0.3">
      <c r="A1" s="1019" t="s">
        <v>0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19"/>
      <c r="P1" s="1019"/>
      <c r="Q1" s="1019"/>
      <c r="R1" s="1019"/>
      <c r="S1" s="2"/>
      <c r="T1" s="3"/>
      <c r="U1" s="2"/>
      <c r="V1" s="2"/>
      <c r="W1" s="1019" t="s">
        <v>1</v>
      </c>
      <c r="X1" s="1019"/>
      <c r="Y1" s="1019"/>
      <c r="Z1" s="1019"/>
      <c r="AA1" s="1019"/>
      <c r="AB1" s="1"/>
      <c r="AC1" s="1"/>
      <c r="AD1" s="3"/>
      <c r="AE1" s="2"/>
      <c r="AF1" s="1019" t="s">
        <v>2</v>
      </c>
      <c r="AG1" s="1019"/>
      <c r="AH1" s="1019"/>
      <c r="AI1" s="1019"/>
      <c r="AJ1" s="1019"/>
      <c r="AK1" s="2"/>
      <c r="AL1" s="3"/>
      <c r="AM1" s="1019" t="s">
        <v>3</v>
      </c>
      <c r="AN1" s="1019"/>
      <c r="AO1" s="1019"/>
      <c r="AP1" s="1019"/>
      <c r="AQ1" s="1019"/>
      <c r="AR1" s="1019"/>
      <c r="AS1" s="1019"/>
      <c r="AT1" s="1019"/>
      <c r="AU1" s="1019"/>
      <c r="AV1" s="1019"/>
      <c r="AW1" s="1019"/>
      <c r="AX1" s="1019"/>
      <c r="AY1" s="1019"/>
      <c r="AZ1" s="1019"/>
      <c r="BA1" s="1019"/>
      <c r="BB1" s="1019"/>
      <c r="BC1" s="1019"/>
      <c r="BD1" s="1019"/>
      <c r="BE1" s="1019"/>
      <c r="BF1" s="1019"/>
      <c r="BG1" s="1019"/>
      <c r="BH1" s="1019"/>
      <c r="BI1" s="1019"/>
      <c r="BJ1" s="1019"/>
      <c r="BK1" s="1019"/>
      <c r="BL1" s="1019"/>
      <c r="BM1" s="1019"/>
      <c r="BN1" s="1019"/>
      <c r="BO1" s="1019"/>
      <c r="BP1" s="1019"/>
      <c r="BQ1" s="1019"/>
      <c r="BR1" s="1019"/>
      <c r="BS1" s="1019"/>
      <c r="BT1" s="1019"/>
      <c r="BU1" s="1019"/>
      <c r="BV1" s="1019"/>
      <c r="BW1" s="1019"/>
      <c r="BX1" s="1019"/>
      <c r="BY1" s="1019"/>
      <c r="BZ1" s="1019"/>
      <c r="CA1" s="1019"/>
      <c r="CB1" s="1019"/>
      <c r="CC1" s="1019"/>
      <c r="CD1" s="1019"/>
      <c r="CE1" s="1019"/>
      <c r="CF1" s="1019"/>
      <c r="CG1" s="1019"/>
      <c r="CH1" s="1019"/>
      <c r="CI1" s="1019"/>
      <c r="CJ1" s="1019"/>
      <c r="CK1" s="2"/>
      <c r="CL1" s="3"/>
      <c r="CM1" s="1019" t="s">
        <v>4</v>
      </c>
      <c r="CN1" s="1019"/>
      <c r="CO1" s="1019"/>
      <c r="CP1" s="1019"/>
      <c r="CQ1" s="1019"/>
      <c r="CR1" s="1019"/>
      <c r="CS1" s="1019"/>
      <c r="CT1" s="1019"/>
      <c r="CU1" s="1019"/>
      <c r="CV1" s="1019"/>
      <c r="CW1" s="1019"/>
      <c r="CX1" s="1019"/>
      <c r="CY1" s="4"/>
      <c r="CZ1" s="1019" t="s">
        <v>5</v>
      </c>
      <c r="DA1" s="1019"/>
      <c r="DB1" s="1019"/>
      <c r="DC1" s="1019"/>
      <c r="DD1" s="1019"/>
      <c r="DE1" s="1019"/>
      <c r="DF1" s="1019"/>
      <c r="DG1" s="1019"/>
      <c r="DH1" s="1019"/>
      <c r="DI1" s="4"/>
      <c r="DJ1" s="1019" t="s">
        <v>6</v>
      </c>
      <c r="DK1" s="1019"/>
      <c r="DL1" s="1019"/>
      <c r="DM1" s="1019"/>
      <c r="DN1" s="1019"/>
      <c r="DO1" s="1019"/>
      <c r="DP1" s="1019"/>
      <c r="DQ1" s="1019"/>
      <c r="DR1" s="3"/>
      <c r="DS1" s="1019" t="s">
        <v>7</v>
      </c>
      <c r="DT1" s="1019"/>
      <c r="DU1" s="1019"/>
      <c r="DV1" s="1019"/>
      <c r="DW1" s="1019"/>
      <c r="DX1" s="1019"/>
      <c r="DY1" s="1019"/>
      <c r="DZ1" s="1019"/>
      <c r="EA1" s="1019"/>
      <c r="EB1" s="1019"/>
      <c r="EC1" s="1019"/>
      <c r="ED1" s="1019"/>
      <c r="EE1" s="4"/>
      <c r="EG1" s="1019" t="s">
        <v>8</v>
      </c>
      <c r="EH1" s="1019"/>
      <c r="EI1" s="1019"/>
      <c r="EJ1" s="1019"/>
      <c r="EK1" s="1019"/>
      <c r="EL1" s="1019"/>
      <c r="EM1" s="1019"/>
      <c r="EN1" s="1019"/>
      <c r="EO1" s="1019"/>
      <c r="EP1" s="1019"/>
      <c r="EQ1" s="2"/>
      <c r="ER1" s="4"/>
      <c r="ES1" s="2"/>
      <c r="ET1" s="1019" t="s">
        <v>9</v>
      </c>
      <c r="EU1" s="1019"/>
      <c r="EV1" s="1019"/>
      <c r="EW1" s="1019"/>
      <c r="EX1" s="1019"/>
      <c r="EY1" s="1019"/>
      <c r="EZ1" s="1019"/>
      <c r="FA1" s="1019"/>
      <c r="FB1" s="1019"/>
      <c r="FC1" s="1019"/>
      <c r="FD1" s="1019"/>
      <c r="FE1" s="1019"/>
      <c r="FF1" s="1019"/>
      <c r="FG1" s="2"/>
      <c r="FH1" s="4"/>
      <c r="FI1" s="1019" t="s">
        <v>10</v>
      </c>
      <c r="FJ1" s="1019"/>
      <c r="FK1" s="1019"/>
      <c r="FL1" s="1019"/>
      <c r="FM1" s="1019"/>
      <c r="FN1" s="1019"/>
      <c r="FO1" s="1019"/>
      <c r="FP1" s="1019"/>
      <c r="FQ1" s="1019"/>
      <c r="FR1" s="1019"/>
      <c r="FS1" s="1019"/>
      <c r="FT1" s="1019"/>
      <c r="FU1" s="1019"/>
      <c r="FV1" s="1019"/>
      <c r="FW1" s="4"/>
      <c r="FX1" s="1019" t="s">
        <v>11</v>
      </c>
      <c r="FY1" s="1019"/>
      <c r="FZ1" s="1019"/>
      <c r="GA1" s="1019"/>
      <c r="GB1" s="1019"/>
      <c r="GC1" s="1019"/>
      <c r="GD1" s="1019"/>
      <c r="GE1" s="1019"/>
      <c r="GF1" s="1019"/>
      <c r="GG1" s="1019"/>
      <c r="GH1" s="1019"/>
      <c r="GI1" s="1019"/>
      <c r="GJ1" s="3"/>
      <c r="GK1" s="1019" t="s">
        <v>12</v>
      </c>
      <c r="GL1" s="1019"/>
      <c r="GM1" s="1019"/>
      <c r="GN1" s="1019"/>
      <c r="GO1" s="1019"/>
      <c r="GP1" s="1019"/>
      <c r="GQ1" s="1019"/>
      <c r="GR1" s="1019"/>
      <c r="GS1" s="1019"/>
      <c r="GT1" s="1019"/>
      <c r="GU1" s="1019"/>
      <c r="GV1" s="1019"/>
      <c r="GW1" s="4"/>
      <c r="GY1" s="1020" t="s">
        <v>13</v>
      </c>
      <c r="GZ1" s="1020"/>
      <c r="HA1" s="1020"/>
      <c r="HB1" s="1020"/>
      <c r="HC1" s="1020"/>
      <c r="HD1" s="1020"/>
      <c r="HE1" s="1020"/>
      <c r="HF1" s="1020"/>
      <c r="HG1" s="1020"/>
      <c r="HH1" s="1020"/>
      <c r="HI1" s="1020"/>
      <c r="HJ1" s="1020"/>
      <c r="HL1" s="3"/>
      <c r="HM1" s="2"/>
      <c r="HN1" s="1021" t="s">
        <v>14</v>
      </c>
      <c r="HO1" s="1021"/>
      <c r="HP1" s="1021"/>
      <c r="HQ1" s="1021"/>
      <c r="HR1" s="1021"/>
      <c r="HS1" s="1021"/>
      <c r="HT1" s="1021"/>
      <c r="HU1" s="1021"/>
      <c r="HV1" s="1021"/>
      <c r="HW1" s="1021"/>
      <c r="HX1" s="1021"/>
      <c r="HY1" s="1021"/>
      <c r="HZ1" s="1021"/>
      <c r="IA1" s="2"/>
      <c r="IB1" s="3"/>
      <c r="IC1" s="2"/>
      <c r="ID1" s="1021" t="s">
        <v>15</v>
      </c>
      <c r="IE1" s="1021"/>
      <c r="IF1" s="1021"/>
      <c r="IG1" s="1021"/>
      <c r="IH1" s="1021"/>
      <c r="II1" s="1021"/>
      <c r="IJ1" s="1021"/>
      <c r="IK1" s="1021"/>
      <c r="IL1" s="1021"/>
      <c r="IM1" s="1021"/>
      <c r="IN1" s="1021"/>
      <c r="IO1" s="1021"/>
      <c r="IP1" s="1021"/>
      <c r="IQ1" s="1021"/>
      <c r="IR1" s="1021"/>
      <c r="IS1" s="1021"/>
      <c r="IT1" s="1021"/>
      <c r="IU1" s="1021"/>
      <c r="IV1" s="1021"/>
      <c r="IW1" s="1021"/>
      <c r="IX1" s="1021"/>
      <c r="IY1" s="1021"/>
      <c r="IZ1" s="1021"/>
      <c r="JA1" s="1"/>
      <c r="JB1" s="4"/>
      <c r="JC1" s="2"/>
      <c r="JD1" s="1021" t="s">
        <v>16</v>
      </c>
      <c r="JE1" s="1021"/>
      <c r="JF1" s="1021"/>
      <c r="JG1" s="1021"/>
      <c r="JH1" s="1021"/>
      <c r="JI1" s="1021"/>
      <c r="JJ1" s="1021"/>
      <c r="JK1" s="1021"/>
      <c r="JL1" s="1021"/>
      <c r="JM1" s="1021"/>
      <c r="JO1" s="3"/>
      <c r="JQ1" s="1021" t="s">
        <v>17</v>
      </c>
      <c r="JR1" s="1021"/>
      <c r="JS1" s="1021"/>
      <c r="JT1" s="1021"/>
      <c r="JU1" s="1021"/>
      <c r="JV1" s="1021"/>
      <c r="JW1" s="1021"/>
      <c r="JX1" s="1021"/>
      <c r="JY1" s="1021"/>
      <c r="JZ1" s="1021"/>
      <c r="KA1" s="1021"/>
      <c r="KB1" s="1021"/>
      <c r="KC1" s="1021"/>
      <c r="KD1" s="1021"/>
      <c r="KE1" s="2"/>
      <c r="KF1" s="3"/>
      <c r="KG1" s="2"/>
      <c r="KH1" s="1025" t="s">
        <v>18</v>
      </c>
      <c r="KI1" s="1025"/>
      <c r="KJ1" s="1025"/>
      <c r="KK1" s="1025"/>
      <c r="KL1" s="1025"/>
      <c r="KM1" s="1025"/>
      <c r="KN1" s="1025"/>
      <c r="KO1" s="1025"/>
      <c r="KP1" s="1025"/>
      <c r="KQ1" s="1025"/>
      <c r="KR1" s="1025"/>
      <c r="KS1" s="1025"/>
      <c r="KT1" s="1025"/>
      <c r="KU1" s="1025"/>
      <c r="KV1" s="1025"/>
      <c r="KW1" s="1025"/>
      <c r="KX1" s="1025"/>
      <c r="KY1" s="1025"/>
      <c r="KZ1" s="1025"/>
      <c r="LA1" s="1025"/>
      <c r="LB1" s="1025"/>
      <c r="LC1" s="1025"/>
      <c r="LD1" s="1"/>
      <c r="LE1" s="4"/>
      <c r="LG1" s="1021" t="s">
        <v>19</v>
      </c>
      <c r="LH1" s="1021"/>
      <c r="LI1" s="1021"/>
      <c r="LJ1" s="1021"/>
      <c r="LK1" s="1021"/>
      <c r="LL1" s="1021"/>
      <c r="LM1" s="1021"/>
      <c r="LN1" s="1021"/>
      <c r="LO1" s="1021"/>
      <c r="LP1" s="1021"/>
      <c r="LQ1" s="1021"/>
      <c r="LR1" s="2"/>
      <c r="LS1" s="3"/>
      <c r="LT1" s="2"/>
      <c r="LU1" s="1021" t="s">
        <v>20</v>
      </c>
      <c r="LV1" s="1021"/>
      <c r="LW1" s="1021"/>
      <c r="LX1" s="2"/>
      <c r="LY1" s="3"/>
      <c r="LZ1" s="2"/>
      <c r="MA1" s="1014" t="s">
        <v>21</v>
      </c>
      <c r="MB1" s="1014"/>
      <c r="MC1" s="1014"/>
      <c r="MD1" s="1014"/>
      <c r="ME1" s="1014"/>
      <c r="MF1" s="1014"/>
      <c r="MG1" s="1014"/>
      <c r="MH1" s="2"/>
      <c r="MI1" s="3"/>
      <c r="MJ1" s="2"/>
      <c r="MK1" s="1015" t="s">
        <v>22</v>
      </c>
      <c r="ML1" s="1015"/>
      <c r="MM1" s="1015"/>
      <c r="MN1" s="1015"/>
      <c r="MO1" s="1015"/>
      <c r="MP1" s="1015"/>
      <c r="MQ1" s="2"/>
      <c r="MR1" s="3"/>
      <c r="MS1" s="2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</row>
    <row r="2" spans="1:405" ht="16.5" x14ac:dyDescent="0.3">
      <c r="A2" s="8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"/>
      <c r="AK2" s="11"/>
      <c r="AM2" s="14"/>
      <c r="AO2" s="14"/>
      <c r="AP2" s="14"/>
      <c r="AQ2" s="14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5"/>
      <c r="EQ2" s="19"/>
      <c r="ER2" s="20"/>
      <c r="FG2" s="19"/>
      <c r="FH2" s="20"/>
      <c r="FV2" s="14"/>
      <c r="GI2" s="14"/>
      <c r="GJ2" s="21"/>
      <c r="GY2" s="1020"/>
      <c r="GZ2" s="1020"/>
      <c r="HA2" s="1020"/>
      <c r="HB2" s="1020"/>
      <c r="HC2" s="1020"/>
      <c r="HD2" s="1020"/>
      <c r="HE2" s="1020"/>
      <c r="HF2" s="1020"/>
      <c r="HG2" s="1020"/>
      <c r="HH2" s="1020"/>
      <c r="HI2" s="1020"/>
      <c r="HJ2" s="1020"/>
      <c r="HK2" s="14"/>
      <c r="HN2" s="1021"/>
      <c r="HO2" s="1021"/>
      <c r="HP2" s="1021"/>
      <c r="HQ2" s="1021"/>
      <c r="HR2" s="1021"/>
      <c r="HS2" s="1021"/>
      <c r="HT2" s="1021"/>
      <c r="HU2" s="1021"/>
      <c r="HV2" s="1021"/>
      <c r="HW2" s="1021"/>
      <c r="HX2" s="1021"/>
      <c r="HY2" s="1021"/>
      <c r="HZ2" s="1021"/>
      <c r="ID2" s="1021"/>
      <c r="IE2" s="1021"/>
      <c r="IF2" s="1021"/>
      <c r="IG2" s="1021"/>
      <c r="IH2" s="1021"/>
      <c r="II2" s="1021"/>
      <c r="IJ2" s="1021"/>
      <c r="IK2" s="1021"/>
      <c r="IL2" s="1021"/>
      <c r="IM2" s="1021"/>
      <c r="IN2" s="1021"/>
      <c r="IO2" s="1021"/>
      <c r="IP2" s="1021"/>
      <c r="IQ2" s="1021"/>
      <c r="IR2" s="1021"/>
      <c r="IS2" s="1021"/>
      <c r="IT2" s="1021"/>
      <c r="IU2" s="1021"/>
      <c r="IV2" s="1021"/>
      <c r="IW2" s="1021"/>
      <c r="IX2" s="1021"/>
      <c r="IY2" s="1021"/>
      <c r="IZ2" s="1021"/>
      <c r="JC2" s="22"/>
      <c r="JD2" s="1022"/>
      <c r="JE2" s="1022"/>
      <c r="JF2" s="1022"/>
      <c r="JG2" s="1022"/>
      <c r="JH2" s="1022"/>
      <c r="JI2" s="1022"/>
      <c r="JJ2" s="1022"/>
      <c r="JK2" s="1022"/>
      <c r="JL2" s="1022"/>
      <c r="JM2" s="1022"/>
      <c r="JO2" s="23"/>
      <c r="JQ2" s="1021"/>
      <c r="JR2" s="1021"/>
      <c r="JS2" s="1021"/>
      <c r="JT2" s="1021"/>
      <c r="JU2" s="1021"/>
      <c r="JV2" s="1021"/>
      <c r="JW2" s="1021"/>
      <c r="JX2" s="1021"/>
      <c r="JY2" s="1021"/>
      <c r="JZ2" s="1021"/>
      <c r="KA2" s="1021"/>
      <c r="KB2" s="1021"/>
      <c r="KC2" s="1021"/>
      <c r="KD2" s="1021"/>
      <c r="KE2" s="24"/>
      <c r="KF2" s="25"/>
      <c r="KG2" s="24"/>
      <c r="KH2" s="1025"/>
      <c r="KI2" s="1025"/>
      <c r="KJ2" s="1025"/>
      <c r="KK2" s="1025"/>
      <c r="KL2" s="1025"/>
      <c r="KM2" s="1025"/>
      <c r="KN2" s="1025"/>
      <c r="KO2" s="1025"/>
      <c r="KP2" s="1025"/>
      <c r="KQ2" s="1025"/>
      <c r="KR2" s="1025"/>
      <c r="KS2" s="1025"/>
      <c r="KT2" s="1025"/>
      <c r="KU2" s="1025"/>
      <c r="KV2" s="1025"/>
      <c r="KW2" s="1025"/>
      <c r="KX2" s="1025"/>
      <c r="KY2" s="1025"/>
      <c r="KZ2" s="1025"/>
      <c r="LA2" s="1025"/>
      <c r="LB2" s="1025"/>
      <c r="LC2" s="1025"/>
      <c r="LD2" s="26"/>
      <c r="LE2" s="27"/>
      <c r="LG2" s="1021"/>
      <c r="LH2" s="1021"/>
      <c r="LI2" s="1021"/>
      <c r="LJ2" s="1021"/>
      <c r="LK2" s="1021"/>
      <c r="LL2" s="1021"/>
      <c r="LM2" s="1021"/>
      <c r="LN2" s="1021"/>
      <c r="LO2" s="1021"/>
      <c r="LP2" s="1021"/>
      <c r="LQ2" s="1021"/>
      <c r="LS2" s="28"/>
      <c r="LT2" s="15"/>
      <c r="LU2" s="1021"/>
      <c r="LV2" s="1021"/>
      <c r="LW2" s="1021"/>
      <c r="LX2" s="2"/>
      <c r="LY2" s="3"/>
      <c r="LZ2" s="2"/>
      <c r="MA2" s="1014"/>
      <c r="MB2" s="1014"/>
      <c r="MC2" s="1014"/>
      <c r="MD2" s="1014"/>
      <c r="ME2" s="1014"/>
      <c r="MF2" s="1014"/>
      <c r="MG2" s="1014"/>
      <c r="MI2" s="28"/>
      <c r="MJ2" s="15"/>
      <c r="MK2" s="1015"/>
      <c r="ML2" s="1015"/>
      <c r="MM2" s="1015"/>
      <c r="MN2" s="1015"/>
      <c r="MO2" s="1015"/>
      <c r="MP2" s="1015"/>
      <c r="MR2" s="28"/>
      <c r="MS2" s="15"/>
    </row>
    <row r="3" spans="1:405" ht="18" customHeight="1" x14ac:dyDescent="0.3">
      <c r="A3" s="8"/>
      <c r="B3" s="633"/>
      <c r="C3" s="633"/>
      <c r="D3" s="633"/>
      <c r="E3" s="633"/>
      <c r="F3" s="1016" t="s">
        <v>23</v>
      </c>
      <c r="G3" s="1017"/>
      <c r="H3" s="1016" t="s">
        <v>24</v>
      </c>
      <c r="I3" s="1018"/>
      <c r="J3" s="1017"/>
      <c r="K3" s="1016" t="s">
        <v>25</v>
      </c>
      <c r="L3" s="1018"/>
      <c r="M3" s="1017"/>
      <c r="N3" s="1016" t="s">
        <v>26</v>
      </c>
      <c r="O3" s="1018"/>
      <c r="P3" s="1017"/>
      <c r="Q3" s="1016" t="s">
        <v>27</v>
      </c>
      <c r="R3" s="1018"/>
      <c r="S3" s="30"/>
      <c r="T3" s="31"/>
      <c r="U3" s="32"/>
      <c r="V3" s="634"/>
      <c r="W3" s="634"/>
      <c r="X3" s="634"/>
      <c r="Y3" s="634"/>
      <c r="Z3" s="634"/>
      <c r="AA3" s="634"/>
      <c r="AF3" s="634"/>
      <c r="AG3" s="634"/>
      <c r="AH3" s="634"/>
      <c r="AI3" s="634"/>
      <c r="AJ3" s="634"/>
      <c r="AK3" s="34"/>
      <c r="AN3" s="635"/>
      <c r="AO3" s="636"/>
      <c r="AP3" s="637"/>
      <c r="AQ3" s="636"/>
      <c r="AR3" s="638"/>
      <c r="AS3" s="1023" t="s">
        <v>28</v>
      </c>
      <c r="AT3" s="1024"/>
      <c r="AU3" s="636"/>
      <c r="AV3" s="1023" t="s">
        <v>29</v>
      </c>
      <c r="AW3" s="1024"/>
      <c r="AX3" s="1024"/>
      <c r="AY3" s="636"/>
      <c r="AZ3" s="1023" t="s">
        <v>30</v>
      </c>
      <c r="BA3" s="1024"/>
      <c r="BB3" s="1024"/>
      <c r="BC3" s="636"/>
      <c r="BD3" s="1023" t="s">
        <v>31</v>
      </c>
      <c r="BE3" s="1024"/>
      <c r="BF3" s="1024"/>
      <c r="BG3" s="636"/>
      <c r="BH3" s="1023" t="s">
        <v>32</v>
      </c>
      <c r="BI3" s="1024"/>
      <c r="BJ3" s="1024"/>
      <c r="BK3" s="636"/>
      <c r="BL3" s="1023" t="s">
        <v>33</v>
      </c>
      <c r="BM3" s="1024"/>
      <c r="BN3" s="1024"/>
      <c r="BO3" s="636"/>
      <c r="BP3" s="1023" t="s">
        <v>34</v>
      </c>
      <c r="BQ3" s="1024"/>
      <c r="BR3" s="1024"/>
      <c r="BS3" s="636"/>
      <c r="BT3" s="1023" t="s">
        <v>35</v>
      </c>
      <c r="BU3" s="1024"/>
      <c r="BV3" s="1024"/>
      <c r="BW3" s="1024" t="s">
        <v>36</v>
      </c>
      <c r="BX3" s="1024"/>
      <c r="BY3" s="1024"/>
      <c r="BZ3" s="1023" t="s">
        <v>37</v>
      </c>
      <c r="CA3" s="1024"/>
      <c r="CB3" s="1031"/>
      <c r="CC3" s="1023" t="s">
        <v>38</v>
      </c>
      <c r="CD3" s="1024"/>
      <c r="CE3" s="1031"/>
      <c r="CF3" s="1023" t="s">
        <v>23</v>
      </c>
      <c r="CG3" s="1024"/>
      <c r="CH3" s="1031"/>
      <c r="CI3" s="1026" t="s">
        <v>39</v>
      </c>
      <c r="CJ3" s="1027"/>
      <c r="CN3" s="639"/>
      <c r="CO3" s="640"/>
      <c r="CP3" s="1028" t="str">
        <f>F3</f>
        <v>2023 Fiscal Year As Accepted</v>
      </c>
      <c r="CQ3" s="1029"/>
      <c r="CR3" s="1029"/>
      <c r="CS3" s="1030"/>
      <c r="CT3" s="1028" t="str">
        <f>H3</f>
        <v>2023 Fiscal Year As Adjusted</v>
      </c>
      <c r="CU3" s="1029"/>
      <c r="CV3" s="1029"/>
      <c r="CW3" s="1030"/>
      <c r="CX3" s="11"/>
      <c r="DA3" s="636"/>
      <c r="DB3" s="641"/>
      <c r="DC3" s="1028" t="str">
        <f>CP3</f>
        <v>2023 Fiscal Year As Accepted</v>
      </c>
      <c r="DD3" s="1030"/>
      <c r="DE3" s="1028" t="str">
        <f>CT3</f>
        <v>2023 Fiscal Year As Adjusted</v>
      </c>
      <c r="DF3" s="1029"/>
      <c r="DG3" s="1030"/>
      <c r="DK3" s="642"/>
      <c r="DL3" s="643"/>
      <c r="DM3" s="1028" t="str">
        <f>DC3</f>
        <v>2023 Fiscal Year As Accepted</v>
      </c>
      <c r="DN3" s="1030"/>
      <c r="DO3" s="1028" t="str">
        <f>DE3</f>
        <v>2023 Fiscal Year As Adjusted</v>
      </c>
      <c r="DP3" s="1030"/>
      <c r="DT3" s="636"/>
      <c r="DU3" s="644"/>
      <c r="DV3" s="1024" t="str">
        <f>DC3</f>
        <v>2023 Fiscal Year As Accepted</v>
      </c>
      <c r="DW3" s="1024"/>
      <c r="DX3" s="1024"/>
      <c r="DY3" s="1024"/>
      <c r="DZ3" s="1023" t="str">
        <f>DE3</f>
        <v>2023 Fiscal Year As Adjusted</v>
      </c>
      <c r="EA3" s="1024"/>
      <c r="EB3" s="1024"/>
      <c r="EC3" s="1031"/>
      <c r="EE3" s="39"/>
      <c r="EG3" s="36"/>
      <c r="EH3" s="36"/>
      <c r="EI3" s="1038" t="str">
        <f>DV3</f>
        <v>2023 Fiscal Year As Accepted</v>
      </c>
      <c r="EJ3" s="1032"/>
      <c r="EK3" s="1032"/>
      <c r="EL3" s="1033"/>
      <c r="EM3" s="1038" t="str">
        <f>DZ3</f>
        <v>2023 Fiscal Year As Adjusted</v>
      </c>
      <c r="EN3" s="1032"/>
      <c r="EO3" s="1032"/>
      <c r="EP3" s="1033"/>
      <c r="EQ3" s="11"/>
      <c r="ER3" s="40"/>
      <c r="ET3" s="36"/>
      <c r="EU3" s="37"/>
      <c r="EV3" s="1032" t="str">
        <f>EI3</f>
        <v>2023 Fiscal Year As Accepted</v>
      </c>
      <c r="EW3" s="1032"/>
      <c r="EX3" s="1032"/>
      <c r="EY3" s="1033"/>
      <c r="EZ3" s="1032" t="str">
        <f>EM3</f>
        <v>2023 Fiscal Year As Adjusted</v>
      </c>
      <c r="FA3" s="1032"/>
      <c r="FB3" s="1032"/>
      <c r="FC3" s="1033"/>
      <c r="FD3" s="1032" t="s">
        <v>40</v>
      </c>
      <c r="FE3" s="1032"/>
      <c r="FF3" s="1033"/>
      <c r="FG3" s="11"/>
      <c r="FH3" s="40"/>
      <c r="FJ3" s="36"/>
      <c r="FK3" s="36"/>
      <c r="FL3" s="36"/>
      <c r="FM3" s="1034" t="str">
        <f>EI3</f>
        <v>2023 Fiscal Year As Accepted</v>
      </c>
      <c r="FN3" s="1035"/>
      <c r="FO3" s="1035"/>
      <c r="FP3" s="1036"/>
      <c r="FQ3" s="1034" t="str">
        <f>EM3</f>
        <v>2023 Fiscal Year As Adjusted</v>
      </c>
      <c r="FR3" s="1035"/>
      <c r="FS3" s="1035"/>
      <c r="FT3" s="1035"/>
      <c r="FU3" s="1036"/>
      <c r="FV3" s="14"/>
      <c r="FW3" s="21"/>
      <c r="FY3" s="35"/>
      <c r="FZ3" s="36"/>
      <c r="GA3" s="1034" t="str">
        <f>FM3</f>
        <v>2023 Fiscal Year As Accepted</v>
      </c>
      <c r="GB3" s="1035"/>
      <c r="GC3" s="1035"/>
      <c r="GD3" s="1036"/>
      <c r="GE3" s="1037" t="str">
        <f>FQ3</f>
        <v>2023 Fiscal Year As Adjusted</v>
      </c>
      <c r="GF3" s="1035"/>
      <c r="GG3" s="1035"/>
      <c r="GH3" s="1036"/>
      <c r="GI3" s="11"/>
      <c r="GJ3" s="42"/>
      <c r="GL3" s="36"/>
      <c r="GM3" s="36"/>
      <c r="GN3" s="1043" t="str">
        <f>GA3</f>
        <v>2023 Fiscal Year As Accepted</v>
      </c>
      <c r="GO3" s="1044"/>
      <c r="GP3" s="1044"/>
      <c r="GQ3" s="1045"/>
      <c r="GR3" s="1043" t="str">
        <f>GE3</f>
        <v>2023 Fiscal Year As Adjusted</v>
      </c>
      <c r="GS3" s="1044"/>
      <c r="GT3" s="1044"/>
      <c r="GU3" s="1045"/>
      <c r="GY3" s="11"/>
      <c r="GZ3" s="43"/>
      <c r="HA3" s="44"/>
      <c r="HB3" s="44"/>
      <c r="HC3" s="44"/>
      <c r="HD3" s="44"/>
      <c r="HE3" s="44"/>
      <c r="HF3" s="45"/>
      <c r="HG3" s="44"/>
      <c r="HH3" s="44"/>
      <c r="HI3" s="44"/>
      <c r="HJ3" s="44"/>
      <c r="HK3" s="46"/>
      <c r="HM3" s="46"/>
      <c r="HN3" s="41"/>
      <c r="HO3" s="47"/>
      <c r="HP3" s="47"/>
      <c r="HQ3" s="1039" t="s">
        <v>41</v>
      </c>
      <c r="HR3" s="1046"/>
      <c r="HS3" s="1039" t="s">
        <v>42</v>
      </c>
      <c r="HT3" s="1046"/>
      <c r="HU3" s="1039" t="s">
        <v>43</v>
      </c>
      <c r="HV3" s="1046"/>
      <c r="HW3" s="1039" t="s">
        <v>44</v>
      </c>
      <c r="HX3" s="1046"/>
      <c r="HY3" s="1039" t="s">
        <v>45</v>
      </c>
      <c r="HZ3" s="1040"/>
      <c r="IA3" s="24"/>
      <c r="IB3" s="25"/>
      <c r="IC3" s="24"/>
      <c r="ID3" s="36"/>
      <c r="IE3" s="48"/>
      <c r="IF3" s="48"/>
      <c r="IG3" s="48"/>
      <c r="IH3" s="1041" t="s">
        <v>46</v>
      </c>
      <c r="II3" s="1042"/>
      <c r="IJ3" s="1041" t="s">
        <v>47</v>
      </c>
      <c r="IK3" s="1042"/>
      <c r="IL3" s="1041" t="s">
        <v>48</v>
      </c>
      <c r="IM3" s="1042"/>
      <c r="IN3" s="1041" t="s">
        <v>49</v>
      </c>
      <c r="IO3" s="1042"/>
      <c r="IP3" s="1041" t="s">
        <v>50</v>
      </c>
      <c r="IQ3" s="1042"/>
      <c r="IR3" s="1041" t="s">
        <v>51</v>
      </c>
      <c r="IS3" s="1042"/>
      <c r="IT3" s="1041" t="s">
        <v>52</v>
      </c>
      <c r="IU3" s="1042"/>
      <c r="IV3" s="1041" t="s">
        <v>53</v>
      </c>
      <c r="IW3" s="1042"/>
      <c r="IX3" s="1041" t="s">
        <v>54</v>
      </c>
      <c r="IY3" s="1049"/>
      <c r="IZ3" s="1049"/>
      <c r="JA3" s="46"/>
      <c r="JB3" s="49"/>
      <c r="JC3" s="22"/>
      <c r="JD3" s="50"/>
      <c r="JE3" s="51"/>
      <c r="JF3" s="51"/>
      <c r="JG3" s="51"/>
      <c r="JH3" s="51"/>
      <c r="JI3" s="51"/>
      <c r="JJ3" s="51"/>
      <c r="JK3" s="51"/>
      <c r="JL3" s="51"/>
      <c r="JM3" s="51"/>
      <c r="JN3" s="24"/>
      <c r="JO3" s="25"/>
      <c r="JP3" s="52"/>
      <c r="JQ3" s="53"/>
      <c r="JR3" s="47"/>
      <c r="JS3" s="47"/>
      <c r="JT3" s="54"/>
      <c r="JU3" s="1039" t="s">
        <v>41</v>
      </c>
      <c r="JV3" s="1046"/>
      <c r="JW3" s="1039" t="s">
        <v>42</v>
      </c>
      <c r="JX3" s="1046"/>
      <c r="JY3" s="1039" t="s">
        <v>55</v>
      </c>
      <c r="JZ3" s="1046"/>
      <c r="KA3" s="1039" t="s">
        <v>56</v>
      </c>
      <c r="KB3" s="1046"/>
      <c r="KC3" s="1039" t="s">
        <v>45</v>
      </c>
      <c r="KD3" s="1040"/>
      <c r="KE3" s="52"/>
      <c r="KF3" s="55"/>
      <c r="KG3" s="52"/>
      <c r="KH3" s="56"/>
      <c r="KI3" s="47"/>
      <c r="KJ3" s="47"/>
      <c r="KK3" s="47"/>
      <c r="KL3" s="1039" t="s">
        <v>46</v>
      </c>
      <c r="KM3" s="1046"/>
      <c r="KN3" s="1039" t="s">
        <v>57</v>
      </c>
      <c r="KO3" s="1046"/>
      <c r="KP3" s="1039" t="s">
        <v>48</v>
      </c>
      <c r="KQ3" s="1046"/>
      <c r="KR3" s="1039" t="s">
        <v>49</v>
      </c>
      <c r="KS3" s="1046"/>
      <c r="KT3" s="1039" t="s">
        <v>50</v>
      </c>
      <c r="KU3" s="1046"/>
      <c r="KV3" s="1039" t="s">
        <v>51</v>
      </c>
      <c r="KW3" s="1046"/>
      <c r="KX3" s="1039" t="s">
        <v>52</v>
      </c>
      <c r="KY3" s="1046"/>
      <c r="KZ3" s="1039" t="s">
        <v>53</v>
      </c>
      <c r="LA3" s="1046"/>
      <c r="LB3" s="1039" t="s">
        <v>58</v>
      </c>
      <c r="LC3" s="1040"/>
      <c r="LD3" s="22"/>
      <c r="LE3" s="57"/>
      <c r="LG3" s="36"/>
      <c r="LH3" s="38"/>
      <c r="LI3" s="1039" t="s">
        <v>45</v>
      </c>
      <c r="LJ3" s="1040"/>
      <c r="LK3" s="1046"/>
      <c r="LL3" s="1039" t="s">
        <v>59</v>
      </c>
      <c r="LM3" s="1040"/>
      <c r="LN3" s="1046"/>
      <c r="LO3" s="1039" t="s">
        <v>60</v>
      </c>
      <c r="LP3" s="1040"/>
      <c r="LQ3" s="1046"/>
      <c r="LS3" s="21"/>
      <c r="LT3" s="14"/>
      <c r="LU3" s="58"/>
      <c r="LV3" s="58"/>
      <c r="LW3" s="58"/>
      <c r="LX3" s="14"/>
      <c r="LY3" s="21"/>
      <c r="LZ3" s="14"/>
      <c r="MA3" s="59"/>
      <c r="MB3" s="59"/>
      <c r="MC3" s="33"/>
      <c r="MD3" s="33"/>
      <c r="ME3" s="33"/>
      <c r="MF3" s="33"/>
      <c r="MG3" s="33"/>
      <c r="MI3" s="21"/>
      <c r="MJ3" s="14"/>
      <c r="MK3" s="59"/>
      <c r="ML3" s="33"/>
      <c r="MM3" s="33"/>
      <c r="MN3" s="33"/>
      <c r="MO3" s="33"/>
      <c r="MP3" s="33"/>
      <c r="MR3" s="21"/>
      <c r="MS3" s="14"/>
    </row>
    <row r="4" spans="1:405" s="68" customFormat="1" ht="53.1" customHeight="1" x14ac:dyDescent="0.25">
      <c r="A4" s="60"/>
      <c r="B4" s="61"/>
      <c r="C4" s="62"/>
      <c r="D4" s="62"/>
      <c r="E4" s="62"/>
      <c r="F4" s="63" t="s">
        <v>61</v>
      </c>
      <c r="G4" s="64" t="s">
        <v>62</v>
      </c>
      <c r="H4" s="63" t="s">
        <v>61</v>
      </c>
      <c r="I4" s="65" t="s">
        <v>62</v>
      </c>
      <c r="J4" s="64" t="s">
        <v>63</v>
      </c>
      <c r="K4" s="63" t="s">
        <v>61</v>
      </c>
      <c r="L4" s="65" t="s">
        <v>62</v>
      </c>
      <c r="M4" s="64" t="s">
        <v>64</v>
      </c>
      <c r="N4" s="63" t="s">
        <v>61</v>
      </c>
      <c r="O4" s="65" t="s">
        <v>62</v>
      </c>
      <c r="P4" s="64" t="s">
        <v>65</v>
      </c>
      <c r="Q4" s="66" t="s">
        <v>66</v>
      </c>
      <c r="R4" s="65" t="s">
        <v>67</v>
      </c>
      <c r="S4" s="46"/>
      <c r="T4" s="67"/>
      <c r="V4" s="69"/>
      <c r="W4" s="69"/>
      <c r="X4" s="70" t="s">
        <v>68</v>
      </c>
      <c r="Y4" s="70" t="s">
        <v>69</v>
      </c>
      <c r="Z4" s="70" t="s">
        <v>70</v>
      </c>
      <c r="AA4" s="70" t="s">
        <v>71</v>
      </c>
      <c r="AB4" s="71"/>
      <c r="AC4" s="60"/>
      <c r="AD4" s="72"/>
      <c r="AE4" s="60"/>
      <c r="AF4" s="62"/>
      <c r="AG4" s="62"/>
      <c r="AH4" s="61" t="str">
        <f>D14</f>
        <v>Direct Labour</v>
      </c>
      <c r="AI4" s="61" t="str">
        <f>D15</f>
        <v>Collector Labour</v>
      </c>
      <c r="AJ4" s="61" t="str">
        <f>D16</f>
        <v>Overhead Labour</v>
      </c>
      <c r="AL4" s="67"/>
      <c r="AM4" s="60"/>
      <c r="AN4" s="70"/>
      <c r="AO4" s="73"/>
      <c r="AP4" s="73"/>
      <c r="AQ4" s="73"/>
      <c r="AR4" s="73"/>
      <c r="AS4" s="74" t="s">
        <v>61</v>
      </c>
      <c r="AT4" s="75" t="s">
        <v>72</v>
      </c>
      <c r="AU4" s="70"/>
      <c r="AV4" s="74" t="s">
        <v>61</v>
      </c>
      <c r="AW4" s="75" t="s">
        <v>72</v>
      </c>
      <c r="AX4" s="75" t="s">
        <v>73</v>
      </c>
      <c r="AY4" s="70"/>
      <c r="AZ4" s="74" t="s">
        <v>61</v>
      </c>
      <c r="BA4" s="75" t="s">
        <v>72</v>
      </c>
      <c r="BB4" s="75" t="s">
        <v>73</v>
      </c>
      <c r="BC4" s="70"/>
      <c r="BD4" s="74" t="s">
        <v>61</v>
      </c>
      <c r="BE4" s="75" t="s">
        <v>72</v>
      </c>
      <c r="BF4" s="75" t="s">
        <v>73</v>
      </c>
      <c r="BG4" s="70"/>
      <c r="BH4" s="74" t="s">
        <v>61</v>
      </c>
      <c r="BI4" s="75" t="s">
        <v>72</v>
      </c>
      <c r="BJ4" s="75" t="s">
        <v>73</v>
      </c>
      <c r="BK4" s="70"/>
      <c r="BL4" s="74" t="s">
        <v>61</v>
      </c>
      <c r="BM4" s="75" t="s">
        <v>72</v>
      </c>
      <c r="BN4" s="75" t="s">
        <v>73</v>
      </c>
      <c r="BO4" s="70"/>
      <c r="BP4" s="74" t="s">
        <v>61</v>
      </c>
      <c r="BQ4" s="75" t="s">
        <v>72</v>
      </c>
      <c r="BR4" s="75" t="s">
        <v>73</v>
      </c>
      <c r="BS4" s="70"/>
      <c r="BT4" s="74" t="s">
        <v>61</v>
      </c>
      <c r="BU4" s="75" t="s">
        <v>72</v>
      </c>
      <c r="BV4" s="75" t="s">
        <v>74</v>
      </c>
      <c r="BW4" s="74" t="s">
        <v>61</v>
      </c>
      <c r="BX4" s="75" t="s">
        <v>72</v>
      </c>
      <c r="BY4" s="75" t="s">
        <v>74</v>
      </c>
      <c r="BZ4" s="74" t="s">
        <v>61</v>
      </c>
      <c r="CA4" s="75" t="s">
        <v>72</v>
      </c>
      <c r="CB4" s="75" t="s">
        <v>74</v>
      </c>
      <c r="CC4" s="74" t="s">
        <v>61</v>
      </c>
      <c r="CD4" s="75" t="s">
        <v>72</v>
      </c>
      <c r="CE4" s="75" t="s">
        <v>74</v>
      </c>
      <c r="CF4" s="74" t="s">
        <v>61</v>
      </c>
      <c r="CG4" s="75" t="s">
        <v>72</v>
      </c>
      <c r="CH4" s="75" t="s">
        <v>74</v>
      </c>
      <c r="CI4" s="76" t="s">
        <v>75</v>
      </c>
      <c r="CJ4" s="75" t="s">
        <v>76</v>
      </c>
      <c r="CK4" s="60"/>
      <c r="CL4" s="72"/>
      <c r="CM4" s="60"/>
      <c r="CN4" s="77"/>
      <c r="CO4" s="78"/>
      <c r="CP4" s="79" t="s">
        <v>77</v>
      </c>
      <c r="CQ4" s="80" t="s">
        <v>78</v>
      </c>
      <c r="CR4" s="61" t="s">
        <v>79</v>
      </c>
      <c r="CS4" s="81" t="s">
        <v>71</v>
      </c>
      <c r="CT4" s="79" t="s">
        <v>77</v>
      </c>
      <c r="CU4" s="80" t="s">
        <v>78</v>
      </c>
      <c r="CV4" s="61" t="s">
        <v>79</v>
      </c>
      <c r="CW4" s="81" t="s">
        <v>71</v>
      </c>
      <c r="CX4" s="82"/>
      <c r="CY4" s="72"/>
      <c r="CZ4" s="60"/>
      <c r="DA4" s="61"/>
      <c r="DB4" s="80" t="s">
        <v>80</v>
      </c>
      <c r="DC4" s="79" t="s">
        <v>81</v>
      </c>
      <c r="DD4" s="83" t="s">
        <v>82</v>
      </c>
      <c r="DE4" s="79" t="s">
        <v>81</v>
      </c>
      <c r="DF4" s="84" t="s">
        <v>82</v>
      </c>
      <c r="DG4" s="85" t="s">
        <v>83</v>
      </c>
      <c r="DH4" s="60"/>
      <c r="DI4" s="72"/>
      <c r="DJ4" s="60"/>
      <c r="DK4" s="61"/>
      <c r="DL4" s="86" t="s">
        <v>80</v>
      </c>
      <c r="DM4" s="79" t="s">
        <v>81</v>
      </c>
      <c r="DN4" s="83" t="s">
        <v>82</v>
      </c>
      <c r="DO4" s="79" t="s">
        <v>81</v>
      </c>
      <c r="DP4" s="83" t="s">
        <v>82</v>
      </c>
      <c r="DQ4" s="60"/>
      <c r="DR4" s="72"/>
      <c r="DS4" s="60"/>
      <c r="DT4" s="61"/>
      <c r="DU4" s="87"/>
      <c r="DV4" s="61" t="s">
        <v>68</v>
      </c>
      <c r="DW4" s="61" t="s">
        <v>69</v>
      </c>
      <c r="DX4" s="61" t="s">
        <v>70</v>
      </c>
      <c r="DY4" s="88" t="s">
        <v>71</v>
      </c>
      <c r="DZ4" s="79" t="s">
        <v>68</v>
      </c>
      <c r="EA4" s="61" t="s">
        <v>69</v>
      </c>
      <c r="EB4" s="61" t="s">
        <v>70</v>
      </c>
      <c r="EC4" s="89" t="s">
        <v>71</v>
      </c>
      <c r="ED4" s="90"/>
      <c r="EE4" s="72"/>
      <c r="EF4" s="60"/>
      <c r="EG4" s="62"/>
      <c r="EH4" s="62"/>
      <c r="EI4" s="91" t="s">
        <v>68</v>
      </c>
      <c r="EJ4" s="92" t="s">
        <v>69</v>
      </c>
      <c r="EK4" s="92" t="s">
        <v>70</v>
      </c>
      <c r="EL4" s="93" t="s">
        <v>71</v>
      </c>
      <c r="EM4" s="91" t="s">
        <v>68</v>
      </c>
      <c r="EN4" s="92" t="s">
        <v>69</v>
      </c>
      <c r="EO4" s="92" t="s">
        <v>70</v>
      </c>
      <c r="EP4" s="93" t="s">
        <v>71</v>
      </c>
      <c r="EQ4" s="94"/>
      <c r="ER4" s="95"/>
      <c r="ES4" s="60"/>
      <c r="ET4" s="62"/>
      <c r="EU4" s="96"/>
      <c r="EV4" s="92" t="s">
        <v>68</v>
      </c>
      <c r="EW4" s="92" t="s">
        <v>69</v>
      </c>
      <c r="EX4" s="92" t="s">
        <v>70</v>
      </c>
      <c r="EY4" s="93" t="s">
        <v>71</v>
      </c>
      <c r="EZ4" s="92" t="s">
        <v>68</v>
      </c>
      <c r="FA4" s="92" t="s">
        <v>69</v>
      </c>
      <c r="FB4" s="92" t="s">
        <v>70</v>
      </c>
      <c r="FC4" s="93" t="s">
        <v>71</v>
      </c>
      <c r="FD4" s="97" t="s">
        <v>84</v>
      </c>
      <c r="FE4" s="97" t="s">
        <v>85</v>
      </c>
      <c r="FF4" s="98" t="s">
        <v>86</v>
      </c>
      <c r="FG4" s="94"/>
      <c r="FH4" s="95"/>
      <c r="FI4" s="60"/>
      <c r="FJ4" s="73"/>
      <c r="FK4" s="73"/>
      <c r="FL4" s="99"/>
      <c r="FM4" s="79" t="s">
        <v>68</v>
      </c>
      <c r="FN4" s="61" t="s">
        <v>69</v>
      </c>
      <c r="FO4" s="61" t="s">
        <v>70</v>
      </c>
      <c r="FP4" s="100" t="s">
        <v>71</v>
      </c>
      <c r="FQ4" s="79" t="str">
        <f>FM4</f>
        <v>Small</v>
      </c>
      <c r="FR4" s="61" t="s">
        <v>69</v>
      </c>
      <c r="FS4" s="61" t="str">
        <f>FO4</f>
        <v>Large</v>
      </c>
      <c r="FT4" s="61" t="s">
        <v>71</v>
      </c>
      <c r="FU4" s="81" t="s">
        <v>87</v>
      </c>
      <c r="FV4" s="101"/>
      <c r="FW4" s="102"/>
      <c r="FX4" s="60"/>
      <c r="FY4" s="70"/>
      <c r="FZ4" s="103"/>
      <c r="GA4" s="61" t="s">
        <v>68</v>
      </c>
      <c r="GB4" s="61" t="s">
        <v>69</v>
      </c>
      <c r="GC4" s="61" t="s">
        <v>70</v>
      </c>
      <c r="GD4" s="100" t="s">
        <v>88</v>
      </c>
      <c r="GE4" s="79" t="s">
        <v>68</v>
      </c>
      <c r="GF4" s="61" t="s">
        <v>69</v>
      </c>
      <c r="GG4" s="61" t="s">
        <v>70</v>
      </c>
      <c r="GH4" s="100" t="s">
        <v>88</v>
      </c>
      <c r="GI4" s="104"/>
      <c r="GJ4" s="105"/>
      <c r="GK4" s="60"/>
      <c r="GL4" s="70"/>
      <c r="GM4" s="99"/>
      <c r="GN4" s="79" t="s">
        <v>68</v>
      </c>
      <c r="GO4" s="61" t="s">
        <v>69</v>
      </c>
      <c r="GP4" s="61" t="s">
        <v>70</v>
      </c>
      <c r="GQ4" s="100" t="s">
        <v>71</v>
      </c>
      <c r="GR4" s="79" t="s">
        <v>68</v>
      </c>
      <c r="GS4" s="61" t="s">
        <v>69</v>
      </c>
      <c r="GT4" s="61" t="s">
        <v>70</v>
      </c>
      <c r="GU4" s="100" t="s">
        <v>71</v>
      </c>
      <c r="GV4" s="60"/>
      <c r="GW4" s="72"/>
      <c r="GX4" s="60"/>
      <c r="GY4" s="60"/>
      <c r="GZ4" s="106"/>
      <c r="HA4" s="75" t="s">
        <v>89</v>
      </c>
      <c r="HB4" s="75" t="s">
        <v>90</v>
      </c>
      <c r="HC4" s="75" t="s">
        <v>91</v>
      </c>
      <c r="HD4" s="107" t="s">
        <v>92</v>
      </c>
      <c r="HE4" s="108" t="s">
        <v>93</v>
      </c>
      <c r="HF4" s="108" t="s">
        <v>94</v>
      </c>
      <c r="HG4" s="108" t="s">
        <v>95</v>
      </c>
      <c r="HH4" s="108" t="s">
        <v>96</v>
      </c>
      <c r="HI4" s="108" t="s">
        <v>97</v>
      </c>
      <c r="HJ4" s="108" t="s">
        <v>98</v>
      </c>
      <c r="HK4" s="52"/>
      <c r="HL4" s="102"/>
      <c r="HM4" s="52"/>
      <c r="HN4" s="75"/>
      <c r="HO4" s="109" t="s">
        <v>89</v>
      </c>
      <c r="HP4" s="110" t="str">
        <f>HG4</f>
        <v>Volume Ratio</v>
      </c>
      <c r="HQ4" s="111" t="s">
        <v>99</v>
      </c>
      <c r="HR4" s="85" t="s">
        <v>100</v>
      </c>
      <c r="HS4" s="111" t="str">
        <f>IT4</f>
        <v>Study System</v>
      </c>
      <c r="HT4" s="85" t="s">
        <v>101</v>
      </c>
      <c r="HU4" s="111" t="str">
        <f>HS4</f>
        <v>Study System</v>
      </c>
      <c r="HV4" s="85" t="s">
        <v>101</v>
      </c>
      <c r="HW4" s="111" t="str">
        <f>HU4</f>
        <v>Study System</v>
      </c>
      <c r="HX4" s="85" t="s">
        <v>101</v>
      </c>
      <c r="HY4" s="111" t="s">
        <v>102</v>
      </c>
      <c r="HZ4" s="112" t="s">
        <v>103</v>
      </c>
      <c r="IA4" s="113"/>
      <c r="IB4" s="114"/>
      <c r="IC4" s="113"/>
      <c r="ID4" s="87"/>
      <c r="IE4" s="115" t="s">
        <v>89</v>
      </c>
      <c r="IF4" s="116" t="s">
        <v>94</v>
      </c>
      <c r="IG4" s="116" t="s">
        <v>95</v>
      </c>
      <c r="IH4" s="87" t="str">
        <f>HQ4</f>
        <v>Study System</v>
      </c>
      <c r="II4" s="117" t="s">
        <v>104</v>
      </c>
      <c r="IJ4" s="118" t="str">
        <f>IH4</f>
        <v>Study System</v>
      </c>
      <c r="IK4" s="117" t="s">
        <v>105</v>
      </c>
      <c r="IL4" s="118" t="str">
        <f>IH4</f>
        <v>Study System</v>
      </c>
      <c r="IM4" s="117" t="s">
        <v>106</v>
      </c>
      <c r="IN4" s="118" t="str">
        <f>IL4</f>
        <v>Study System</v>
      </c>
      <c r="IO4" s="117" t="s">
        <v>107</v>
      </c>
      <c r="IP4" s="118" t="str">
        <f>IN4</f>
        <v>Study System</v>
      </c>
      <c r="IQ4" s="117" t="s">
        <v>108</v>
      </c>
      <c r="IR4" s="118" t="str">
        <f>IP4</f>
        <v>Study System</v>
      </c>
      <c r="IS4" s="117" t="s">
        <v>109</v>
      </c>
      <c r="IT4" s="118" t="str">
        <f>IN4</f>
        <v>Study System</v>
      </c>
      <c r="IU4" s="117" t="s">
        <v>110</v>
      </c>
      <c r="IV4" s="118" t="str">
        <f>IT4</f>
        <v>Study System</v>
      </c>
      <c r="IW4" s="117" t="s">
        <v>111</v>
      </c>
      <c r="IX4" s="118" t="s">
        <v>112</v>
      </c>
      <c r="IY4" s="119" t="s">
        <v>113</v>
      </c>
      <c r="IZ4" s="119" t="s">
        <v>114</v>
      </c>
      <c r="JA4" s="113"/>
      <c r="JB4" s="114"/>
      <c r="JC4" s="120"/>
      <c r="JD4" s="121"/>
      <c r="JE4" s="65" t="s">
        <v>89</v>
      </c>
      <c r="JF4" s="122" t="s">
        <v>115</v>
      </c>
      <c r="JG4" s="122" t="s">
        <v>116</v>
      </c>
      <c r="JH4" s="122" t="s">
        <v>117</v>
      </c>
      <c r="JI4" s="122" t="s">
        <v>118</v>
      </c>
      <c r="JJ4" s="122" t="s">
        <v>94</v>
      </c>
      <c r="JK4" s="122" t="s">
        <v>95</v>
      </c>
      <c r="JL4" s="65" t="s">
        <v>119</v>
      </c>
      <c r="JM4" s="122" t="s">
        <v>120</v>
      </c>
      <c r="JN4" s="52"/>
      <c r="JO4" s="55"/>
      <c r="JP4" s="123"/>
      <c r="JQ4" s="75"/>
      <c r="JR4" s="76" t="s">
        <v>89</v>
      </c>
      <c r="JS4" s="110" t="str">
        <f>JM4</f>
        <v>FY Quarter</v>
      </c>
      <c r="JT4" s="110" t="str">
        <f>JL4</f>
        <v>Total System Ratio</v>
      </c>
      <c r="JU4" s="111" t="s">
        <v>25</v>
      </c>
      <c r="JV4" s="85" t="s">
        <v>121</v>
      </c>
      <c r="JW4" s="111" t="s">
        <v>25</v>
      </c>
      <c r="JX4" s="85" t="str">
        <f>KY4</f>
        <v>Target Year</v>
      </c>
      <c r="JY4" s="111" t="str">
        <f>JW4</f>
        <v>Total System</v>
      </c>
      <c r="JZ4" s="85" t="str">
        <f>JX4</f>
        <v>Target Year</v>
      </c>
      <c r="KA4" s="112" t="s">
        <v>25</v>
      </c>
      <c r="KB4" s="112" t="s">
        <v>121</v>
      </c>
      <c r="KC4" s="111" t="s">
        <v>122</v>
      </c>
      <c r="KD4" s="112" t="s">
        <v>123</v>
      </c>
      <c r="KE4" s="123"/>
      <c r="KF4" s="124"/>
      <c r="KG4" s="123"/>
      <c r="KH4" s="87"/>
      <c r="KI4" s="109" t="s">
        <v>124</v>
      </c>
      <c r="KJ4" s="125" t="s">
        <v>94</v>
      </c>
      <c r="KK4" s="110" t="s">
        <v>95</v>
      </c>
      <c r="KL4" s="111" t="s">
        <v>125</v>
      </c>
      <c r="KM4" s="85" t="s">
        <v>121</v>
      </c>
      <c r="KN4" s="111" t="s">
        <v>125</v>
      </c>
      <c r="KO4" s="85" t="str">
        <f>KM4</f>
        <v>Target Year</v>
      </c>
      <c r="KP4" s="111" t="s">
        <v>125</v>
      </c>
      <c r="KQ4" s="85" t="str">
        <f>KO4</f>
        <v>Target Year</v>
      </c>
      <c r="KR4" s="111" t="s">
        <v>125</v>
      </c>
      <c r="KS4" s="85" t="str">
        <f>KQ4</f>
        <v>Target Year</v>
      </c>
      <c r="KT4" s="111" t="s">
        <v>125</v>
      </c>
      <c r="KU4" s="85" t="str">
        <f>KQ4</f>
        <v>Target Year</v>
      </c>
      <c r="KV4" s="111" t="s">
        <v>125</v>
      </c>
      <c r="KW4" s="85" t="str">
        <f>KS4</f>
        <v>Target Year</v>
      </c>
      <c r="KX4" s="111" t="s">
        <v>125</v>
      </c>
      <c r="KY4" s="85" t="str">
        <f>KS4</f>
        <v>Target Year</v>
      </c>
      <c r="KZ4" s="111" t="s">
        <v>125</v>
      </c>
      <c r="LA4" s="85" t="str">
        <f>KY4</f>
        <v>Target Year</v>
      </c>
      <c r="LB4" s="111" t="s">
        <v>25</v>
      </c>
      <c r="LC4" s="112" t="s">
        <v>423</v>
      </c>
      <c r="LD4" s="126"/>
      <c r="LE4" s="127"/>
      <c r="LG4" s="87"/>
      <c r="LH4" s="80" t="s">
        <v>89</v>
      </c>
      <c r="LI4" s="111" t="s">
        <v>99</v>
      </c>
      <c r="LJ4" s="80" t="s">
        <v>25</v>
      </c>
      <c r="LK4" s="85" t="s">
        <v>121</v>
      </c>
      <c r="LL4" s="111" t="s">
        <v>99</v>
      </c>
      <c r="LM4" s="80" t="s">
        <v>25</v>
      </c>
      <c r="LN4" s="85" t="s">
        <v>121</v>
      </c>
      <c r="LO4" s="111" t="s">
        <v>99</v>
      </c>
      <c r="LP4" s="80" t="s">
        <v>25</v>
      </c>
      <c r="LQ4" s="85" t="s">
        <v>121</v>
      </c>
      <c r="LR4" s="60"/>
      <c r="LS4" s="72"/>
      <c r="LT4" s="60"/>
      <c r="LU4" s="80"/>
      <c r="LV4" s="80" t="s">
        <v>126</v>
      </c>
      <c r="LW4" s="80" t="s">
        <v>127</v>
      </c>
      <c r="LX4" s="60"/>
      <c r="LY4" s="72"/>
      <c r="LZ4" s="60"/>
      <c r="MA4" s="61"/>
      <c r="MB4" s="62"/>
      <c r="MC4" s="1047" t="s">
        <v>128</v>
      </c>
      <c r="MD4" s="1047"/>
      <c r="ME4" s="128"/>
      <c r="MF4" s="1048" t="s">
        <v>129</v>
      </c>
      <c r="MG4" s="1047"/>
      <c r="MH4" s="60"/>
      <c r="MI4" s="72"/>
      <c r="MJ4" s="60"/>
      <c r="MK4" s="61"/>
      <c r="ML4" s="129"/>
      <c r="MM4" s="128" t="s">
        <v>130</v>
      </c>
      <c r="MN4" s="129" t="s">
        <v>131</v>
      </c>
      <c r="MO4" s="128" t="s">
        <v>132</v>
      </c>
      <c r="MP4" s="128" t="s">
        <v>132</v>
      </c>
      <c r="MQ4" s="60"/>
      <c r="MR4" s="72"/>
      <c r="MS4" s="6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0"/>
      <c r="NT4" s="130"/>
      <c r="NU4" s="130"/>
      <c r="NV4" s="130"/>
      <c r="NW4" s="130"/>
      <c r="NX4" s="130"/>
      <c r="NY4" s="130"/>
      <c r="NZ4" s="130"/>
      <c r="OA4" s="130"/>
      <c r="OB4" s="130"/>
      <c r="OC4" s="130"/>
      <c r="OD4" s="130"/>
      <c r="OE4" s="130"/>
      <c r="OF4" s="130"/>
      <c r="OG4" s="130"/>
      <c r="OH4" s="130"/>
      <c r="OI4" s="130"/>
      <c r="OJ4" s="130"/>
      <c r="OK4" s="130"/>
      <c r="OL4" s="130"/>
      <c r="OM4" s="130"/>
      <c r="ON4" s="130"/>
      <c r="OO4" s="130"/>
    </row>
    <row r="5" spans="1:405" s="141" customFormat="1" ht="20.25" customHeight="1" x14ac:dyDescent="0.3">
      <c r="A5" s="131"/>
      <c r="B5" s="132" t="s">
        <v>133</v>
      </c>
      <c r="C5" s="133"/>
      <c r="D5" s="134"/>
      <c r="E5" s="135"/>
      <c r="F5" s="136" t="s">
        <v>134</v>
      </c>
      <c r="G5" s="137" t="s">
        <v>135</v>
      </c>
      <c r="H5" s="138" t="s">
        <v>136</v>
      </c>
      <c r="I5" s="132" t="s">
        <v>137</v>
      </c>
      <c r="J5" s="137" t="s">
        <v>138</v>
      </c>
      <c r="K5" s="136" t="s">
        <v>139</v>
      </c>
      <c r="L5" s="139" t="s">
        <v>140</v>
      </c>
      <c r="M5" s="137" t="s">
        <v>141</v>
      </c>
      <c r="N5" s="136" t="s">
        <v>142</v>
      </c>
      <c r="O5" s="139" t="s">
        <v>143</v>
      </c>
      <c r="P5" s="137" t="s">
        <v>144</v>
      </c>
      <c r="Q5" s="140" t="s">
        <v>145</v>
      </c>
      <c r="R5" s="132" t="s">
        <v>146</v>
      </c>
      <c r="T5" s="142"/>
      <c r="U5" s="131"/>
      <c r="V5" s="143" t="s">
        <v>133</v>
      </c>
      <c r="W5" s="144" t="s">
        <v>134</v>
      </c>
      <c r="X5" s="143" t="s">
        <v>135</v>
      </c>
      <c r="Y5" s="145" t="s">
        <v>147</v>
      </c>
      <c r="Z5" s="143" t="s">
        <v>137</v>
      </c>
      <c r="AA5" s="143" t="s">
        <v>138</v>
      </c>
      <c r="AB5" s="123"/>
      <c r="AC5" s="146"/>
      <c r="AD5" s="142"/>
      <c r="AE5" s="131"/>
      <c r="AF5" s="143" t="s">
        <v>133</v>
      </c>
      <c r="AG5" s="144" t="s">
        <v>134</v>
      </c>
      <c r="AH5" s="143" t="s">
        <v>135</v>
      </c>
      <c r="AI5" s="145" t="s">
        <v>147</v>
      </c>
      <c r="AJ5" s="143" t="s">
        <v>137</v>
      </c>
      <c r="AK5" s="131"/>
      <c r="AL5" s="147"/>
      <c r="AM5" s="131"/>
      <c r="AN5" s="143" t="s">
        <v>133</v>
      </c>
      <c r="AO5" s="6"/>
      <c r="AP5" s="148"/>
      <c r="AQ5" s="148"/>
      <c r="AR5" s="149"/>
      <c r="AS5" s="143" t="s">
        <v>134</v>
      </c>
      <c r="AT5" s="143" t="s">
        <v>135</v>
      </c>
      <c r="AU5" s="143"/>
      <c r="AV5" s="143">
        <v>0</v>
      </c>
      <c r="AW5" s="143" t="s">
        <v>135</v>
      </c>
      <c r="AX5" s="143" t="s">
        <v>147</v>
      </c>
      <c r="AY5" s="143"/>
      <c r="AZ5" s="143" t="s">
        <v>137</v>
      </c>
      <c r="BA5" s="143" t="s">
        <v>138</v>
      </c>
      <c r="BB5" s="143" t="s">
        <v>139</v>
      </c>
      <c r="BC5" s="143"/>
      <c r="BD5" s="143" t="s">
        <v>140</v>
      </c>
      <c r="BE5" s="143" t="s">
        <v>141</v>
      </c>
      <c r="BF5" s="143" t="s">
        <v>142</v>
      </c>
      <c r="BG5" s="143"/>
      <c r="BH5" s="143" t="s">
        <v>143</v>
      </c>
      <c r="BI5" s="143" t="s">
        <v>144</v>
      </c>
      <c r="BJ5" s="143" t="s">
        <v>145</v>
      </c>
      <c r="BK5" s="143"/>
      <c r="BL5" s="143" t="s">
        <v>146</v>
      </c>
      <c r="BM5" s="143" t="s">
        <v>148</v>
      </c>
      <c r="BN5" s="143" t="s">
        <v>149</v>
      </c>
      <c r="BO5" s="143"/>
      <c r="BP5" s="143" t="s">
        <v>150</v>
      </c>
      <c r="BQ5" s="143" t="s">
        <v>151</v>
      </c>
      <c r="BR5" s="143" t="s">
        <v>152</v>
      </c>
      <c r="BS5" s="143"/>
      <c r="BT5" s="143" t="s">
        <v>153</v>
      </c>
      <c r="BU5" s="143" t="s">
        <v>154</v>
      </c>
      <c r="BV5" s="143" t="s">
        <v>155</v>
      </c>
      <c r="BW5" s="144" t="s">
        <v>134</v>
      </c>
      <c r="BX5" s="143" t="s">
        <v>135</v>
      </c>
      <c r="BY5" s="143" t="s">
        <v>136</v>
      </c>
      <c r="BZ5" s="144" t="s">
        <v>134</v>
      </c>
      <c r="CA5" s="143" t="s">
        <v>135</v>
      </c>
      <c r="CB5" s="143" t="s">
        <v>136</v>
      </c>
      <c r="CC5" s="143" t="s">
        <v>134</v>
      </c>
      <c r="CD5" s="143" t="s">
        <v>135</v>
      </c>
      <c r="CE5" s="143"/>
      <c r="CF5" s="150" t="s">
        <v>137</v>
      </c>
      <c r="CG5" s="143" t="s">
        <v>138</v>
      </c>
      <c r="CH5" s="143" t="s">
        <v>139</v>
      </c>
      <c r="CI5" s="151" t="s">
        <v>140</v>
      </c>
      <c r="CJ5" s="143" t="s">
        <v>141</v>
      </c>
      <c r="CK5" s="131"/>
      <c r="CL5" s="142"/>
      <c r="CM5" s="131"/>
      <c r="CN5" s="143" t="s">
        <v>133</v>
      </c>
      <c r="CO5" s="152"/>
      <c r="CP5" s="143" t="s">
        <v>134</v>
      </c>
      <c r="CQ5" s="143" t="s">
        <v>135</v>
      </c>
      <c r="CR5" s="143" t="s">
        <v>147</v>
      </c>
      <c r="CS5" s="153" t="s">
        <v>137</v>
      </c>
      <c r="CT5" s="143" t="s">
        <v>138</v>
      </c>
      <c r="CU5" s="143" t="s">
        <v>139</v>
      </c>
      <c r="CV5" s="143" t="s">
        <v>140</v>
      </c>
      <c r="CW5" s="143" t="s">
        <v>141</v>
      </c>
      <c r="CX5" s="154"/>
      <c r="CY5" s="102"/>
      <c r="CZ5" s="131"/>
      <c r="DA5" s="143" t="s">
        <v>133</v>
      </c>
      <c r="DB5" s="155"/>
      <c r="DC5" s="143" t="s">
        <v>134</v>
      </c>
      <c r="DD5" s="156" t="s">
        <v>135</v>
      </c>
      <c r="DE5" s="143" t="s">
        <v>147</v>
      </c>
      <c r="DF5" s="157" t="s">
        <v>137</v>
      </c>
      <c r="DG5" s="157" t="s">
        <v>138</v>
      </c>
      <c r="DH5" s="131"/>
      <c r="DI5" s="102"/>
      <c r="DJ5" s="131"/>
      <c r="DK5" s="143" t="s">
        <v>133</v>
      </c>
      <c r="DL5" s="155"/>
      <c r="DM5" s="143" t="s">
        <v>134</v>
      </c>
      <c r="DN5" s="156" t="s">
        <v>135</v>
      </c>
      <c r="DO5" s="143" t="s">
        <v>147</v>
      </c>
      <c r="DP5" s="157" t="s">
        <v>137</v>
      </c>
      <c r="DQ5" s="131"/>
      <c r="DR5" s="142"/>
      <c r="DS5" s="131"/>
      <c r="DT5" s="143" t="s">
        <v>133</v>
      </c>
      <c r="DU5" s="158"/>
      <c r="DV5" s="157" t="s">
        <v>134</v>
      </c>
      <c r="DW5" s="157" t="s">
        <v>135</v>
      </c>
      <c r="DX5" s="157" t="s">
        <v>147</v>
      </c>
      <c r="DY5" s="157" t="s">
        <v>137</v>
      </c>
      <c r="DZ5" s="159" t="s">
        <v>138</v>
      </c>
      <c r="EA5" s="157" t="s">
        <v>139</v>
      </c>
      <c r="EB5" s="157" t="s">
        <v>140</v>
      </c>
      <c r="EC5" s="157" t="s">
        <v>141</v>
      </c>
      <c r="ED5" s="131"/>
      <c r="EE5" s="142"/>
      <c r="EF5" s="131"/>
      <c r="EG5" s="143" t="s">
        <v>133</v>
      </c>
      <c r="EH5" s="152"/>
      <c r="EI5" s="143" t="s">
        <v>134</v>
      </c>
      <c r="EJ5" s="143" t="s">
        <v>135</v>
      </c>
      <c r="EK5" s="143" t="s">
        <v>147</v>
      </c>
      <c r="EL5" s="153" t="s">
        <v>137</v>
      </c>
      <c r="EM5" s="143" t="s">
        <v>138</v>
      </c>
      <c r="EN5" s="143" t="s">
        <v>139</v>
      </c>
      <c r="EO5" s="143" t="s">
        <v>140</v>
      </c>
      <c r="EP5" s="143" t="s">
        <v>141</v>
      </c>
      <c r="EQ5" s="160"/>
      <c r="ER5" s="161"/>
      <c r="ES5" s="131"/>
      <c r="ET5" s="143" t="s">
        <v>133</v>
      </c>
      <c r="EU5" s="152"/>
      <c r="EV5" s="143" t="s">
        <v>134</v>
      </c>
      <c r="EW5" s="143" t="s">
        <v>135</v>
      </c>
      <c r="EX5" s="143" t="s">
        <v>147</v>
      </c>
      <c r="EY5" s="153" t="s">
        <v>137</v>
      </c>
      <c r="EZ5" s="143" t="s">
        <v>138</v>
      </c>
      <c r="FA5" s="143" t="s">
        <v>139</v>
      </c>
      <c r="FB5" s="143" t="s">
        <v>140</v>
      </c>
      <c r="FC5" s="153" t="s">
        <v>141</v>
      </c>
      <c r="FD5" s="143" t="s">
        <v>142</v>
      </c>
      <c r="FE5" s="143" t="s">
        <v>143</v>
      </c>
      <c r="FF5" s="143" t="s">
        <v>144</v>
      </c>
      <c r="FG5" s="160"/>
      <c r="FH5" s="161"/>
      <c r="FI5" s="131"/>
      <c r="FJ5" s="143" t="s">
        <v>133</v>
      </c>
      <c r="FK5" s="148"/>
      <c r="FL5" s="162"/>
      <c r="FM5" s="143" t="s">
        <v>134</v>
      </c>
      <c r="FN5" s="143" t="s">
        <v>135</v>
      </c>
      <c r="FO5" s="143" t="s">
        <v>147</v>
      </c>
      <c r="FP5" s="153" t="s">
        <v>137</v>
      </c>
      <c r="FQ5" s="143" t="s">
        <v>138</v>
      </c>
      <c r="FR5" s="143" t="s">
        <v>139</v>
      </c>
      <c r="FS5" s="143" t="s">
        <v>140</v>
      </c>
      <c r="FT5" s="143" t="s">
        <v>141</v>
      </c>
      <c r="FU5" s="143" t="s">
        <v>142</v>
      </c>
      <c r="FV5" s="160"/>
      <c r="FW5" s="102"/>
      <c r="FX5" s="131"/>
      <c r="FY5" s="143" t="s">
        <v>133</v>
      </c>
      <c r="FZ5" s="163"/>
      <c r="GA5" s="143" t="s">
        <v>134</v>
      </c>
      <c r="GB5" s="143" t="s">
        <v>135</v>
      </c>
      <c r="GC5" s="143" t="s">
        <v>147</v>
      </c>
      <c r="GD5" s="153" t="s">
        <v>137</v>
      </c>
      <c r="GE5" s="143" t="s">
        <v>138</v>
      </c>
      <c r="GF5" s="143" t="s">
        <v>139</v>
      </c>
      <c r="GG5" s="143" t="s">
        <v>140</v>
      </c>
      <c r="GH5" s="143" t="s">
        <v>141</v>
      </c>
      <c r="GI5" s="164"/>
      <c r="GJ5" s="142"/>
      <c r="GK5" s="131"/>
      <c r="GL5" s="143" t="s">
        <v>133</v>
      </c>
      <c r="GM5" s="149"/>
      <c r="GN5" s="143" t="s">
        <v>134</v>
      </c>
      <c r="GO5" s="143" t="s">
        <v>135</v>
      </c>
      <c r="GP5" s="143" t="s">
        <v>147</v>
      </c>
      <c r="GQ5" s="153" t="s">
        <v>137</v>
      </c>
      <c r="GR5" s="143" t="s">
        <v>138</v>
      </c>
      <c r="GS5" s="143" t="s">
        <v>139</v>
      </c>
      <c r="GT5" s="143" t="s">
        <v>140</v>
      </c>
      <c r="GU5" s="143" t="s">
        <v>141</v>
      </c>
      <c r="GV5" s="131"/>
      <c r="GW5" s="142"/>
      <c r="GX5" s="131"/>
      <c r="GY5" s="131"/>
      <c r="GZ5" s="165" t="s">
        <v>156</v>
      </c>
      <c r="HA5" s="143" t="s">
        <v>134</v>
      </c>
      <c r="HB5" s="143" t="s">
        <v>135</v>
      </c>
      <c r="HC5" s="143" t="s">
        <v>147</v>
      </c>
      <c r="HD5" s="143" t="s">
        <v>137</v>
      </c>
      <c r="HE5" s="143" t="s">
        <v>138</v>
      </c>
      <c r="HF5" s="143" t="s">
        <v>139</v>
      </c>
      <c r="HG5" s="143" t="s">
        <v>140</v>
      </c>
      <c r="HH5" s="143" t="s">
        <v>141</v>
      </c>
      <c r="HI5" s="143" t="s">
        <v>142</v>
      </c>
      <c r="HJ5" s="143" t="s">
        <v>143</v>
      </c>
      <c r="HK5" s="123"/>
      <c r="HL5" s="49"/>
      <c r="HM5" s="123"/>
      <c r="HN5" s="166" t="s">
        <v>133</v>
      </c>
      <c r="HO5" s="167" t="s">
        <v>134</v>
      </c>
      <c r="HP5" s="153" t="s">
        <v>135</v>
      </c>
      <c r="HQ5" s="143" t="s">
        <v>147</v>
      </c>
      <c r="HR5" s="153" t="s">
        <v>137</v>
      </c>
      <c r="HS5" s="143" t="s">
        <v>138</v>
      </c>
      <c r="HT5" s="153" t="s">
        <v>139</v>
      </c>
      <c r="HU5" s="143" t="s">
        <v>140</v>
      </c>
      <c r="HV5" s="153" t="s">
        <v>141</v>
      </c>
      <c r="HW5" s="143" t="s">
        <v>142</v>
      </c>
      <c r="HX5" s="143" t="s">
        <v>143</v>
      </c>
      <c r="HY5" s="143" t="s">
        <v>144</v>
      </c>
      <c r="HZ5" s="143" t="s">
        <v>145</v>
      </c>
      <c r="IA5" s="123"/>
      <c r="IB5" s="124"/>
      <c r="IC5" s="123"/>
      <c r="ID5" s="168" t="s">
        <v>156</v>
      </c>
      <c r="IE5" s="169" t="s">
        <v>134</v>
      </c>
      <c r="IF5" s="170" t="s">
        <v>135</v>
      </c>
      <c r="IG5" s="169" t="s">
        <v>147</v>
      </c>
      <c r="IH5" s="171" t="s">
        <v>137</v>
      </c>
      <c r="II5" s="170" t="s">
        <v>138</v>
      </c>
      <c r="IJ5" s="171" t="s">
        <v>139</v>
      </c>
      <c r="IK5" s="170" t="s">
        <v>140</v>
      </c>
      <c r="IL5" s="171" t="s">
        <v>141</v>
      </c>
      <c r="IM5" s="170" t="s">
        <v>142</v>
      </c>
      <c r="IN5" s="171" t="s">
        <v>143</v>
      </c>
      <c r="IO5" s="170" t="s">
        <v>144</v>
      </c>
      <c r="IP5" s="171" t="s">
        <v>145</v>
      </c>
      <c r="IQ5" s="170" t="s">
        <v>146</v>
      </c>
      <c r="IR5" s="171" t="s">
        <v>148</v>
      </c>
      <c r="IS5" s="170" t="s">
        <v>149</v>
      </c>
      <c r="IT5" s="171" t="s">
        <v>150</v>
      </c>
      <c r="IU5" s="170" t="s">
        <v>151</v>
      </c>
      <c r="IV5" s="172" t="s">
        <v>157</v>
      </c>
      <c r="IW5" s="170" t="s">
        <v>153</v>
      </c>
      <c r="IX5" s="171" t="s">
        <v>154</v>
      </c>
      <c r="IY5" s="171" t="s">
        <v>155</v>
      </c>
      <c r="IZ5" s="171" t="s">
        <v>158</v>
      </c>
      <c r="JA5" s="123"/>
      <c r="JB5" s="124"/>
      <c r="JC5" s="11"/>
      <c r="JD5" s="165" t="s">
        <v>133</v>
      </c>
      <c r="JE5" s="143" t="s">
        <v>134</v>
      </c>
      <c r="JF5" s="143" t="s">
        <v>135</v>
      </c>
      <c r="JG5" s="143" t="s">
        <v>159</v>
      </c>
      <c r="JH5" s="143" t="s">
        <v>137</v>
      </c>
      <c r="JI5" s="143" t="s">
        <v>160</v>
      </c>
      <c r="JJ5" s="143" t="s">
        <v>139</v>
      </c>
      <c r="JK5" s="143" t="s">
        <v>140</v>
      </c>
      <c r="JL5" s="143" t="s">
        <v>141</v>
      </c>
      <c r="JM5" s="143" t="s">
        <v>142</v>
      </c>
      <c r="JN5" s="123"/>
      <c r="JO5" s="124"/>
      <c r="JP5" s="52"/>
      <c r="JQ5" s="165" t="s">
        <v>133</v>
      </c>
      <c r="JR5" s="143" t="str">
        <f>JE5</f>
        <v>(a)</v>
      </c>
      <c r="JS5" s="143" t="s">
        <v>135</v>
      </c>
      <c r="JT5" s="143" t="s">
        <v>159</v>
      </c>
      <c r="JU5" s="143" t="s">
        <v>137</v>
      </c>
      <c r="JV5" s="143" t="s">
        <v>160</v>
      </c>
      <c r="JW5" s="143" t="s">
        <v>139</v>
      </c>
      <c r="JX5" s="143" t="s">
        <v>140</v>
      </c>
      <c r="JY5" s="143" t="s">
        <v>141</v>
      </c>
      <c r="JZ5" s="143" t="s">
        <v>142</v>
      </c>
      <c r="KA5" s="143" t="s">
        <v>143</v>
      </c>
      <c r="KB5" s="143" t="s">
        <v>144</v>
      </c>
      <c r="KC5" s="143" t="s">
        <v>145</v>
      </c>
      <c r="KD5" s="143" t="s">
        <v>146</v>
      </c>
      <c r="KE5" s="52"/>
      <c r="KF5" s="55"/>
      <c r="KG5" s="52"/>
      <c r="KH5" s="173" t="s">
        <v>133</v>
      </c>
      <c r="KI5" s="167" t="s">
        <v>134</v>
      </c>
      <c r="KJ5" s="167" t="s">
        <v>135</v>
      </c>
      <c r="KK5" s="167" t="s">
        <v>159</v>
      </c>
      <c r="KL5" s="143" t="s">
        <v>137</v>
      </c>
      <c r="KM5" s="153" t="s">
        <v>160</v>
      </c>
      <c r="KN5" s="143" t="s">
        <v>139</v>
      </c>
      <c r="KO5" s="153" t="s">
        <v>140</v>
      </c>
      <c r="KP5" s="143" t="s">
        <v>141</v>
      </c>
      <c r="KQ5" s="153" t="s">
        <v>142</v>
      </c>
      <c r="KR5" s="153" t="s">
        <v>143</v>
      </c>
      <c r="KS5" s="153" t="s">
        <v>144</v>
      </c>
      <c r="KT5" s="143" t="s">
        <v>145</v>
      </c>
      <c r="KU5" s="153" t="s">
        <v>146</v>
      </c>
      <c r="KV5" s="143" t="s">
        <v>148</v>
      </c>
      <c r="KW5" s="153" t="s">
        <v>149</v>
      </c>
      <c r="KX5" s="143" t="s">
        <v>150</v>
      </c>
      <c r="KY5" s="153" t="s">
        <v>151</v>
      </c>
      <c r="KZ5" s="143" t="s">
        <v>152</v>
      </c>
      <c r="LA5" s="153" t="s">
        <v>161</v>
      </c>
      <c r="LB5" s="143" t="s">
        <v>154</v>
      </c>
      <c r="LC5" s="143" t="s">
        <v>155</v>
      </c>
      <c r="LD5" s="11"/>
      <c r="LE5" s="105"/>
      <c r="LG5" s="165" t="s">
        <v>156</v>
      </c>
      <c r="LH5" s="153" t="s">
        <v>134</v>
      </c>
      <c r="LI5" s="143" t="s">
        <v>135</v>
      </c>
      <c r="LJ5" s="143" t="s">
        <v>159</v>
      </c>
      <c r="LK5" s="153" t="s">
        <v>137</v>
      </c>
      <c r="LL5" s="143" t="s">
        <v>160</v>
      </c>
      <c r="LM5" s="143" t="s">
        <v>139</v>
      </c>
      <c r="LN5" s="153" t="s">
        <v>140</v>
      </c>
      <c r="LO5" s="143" t="s">
        <v>141</v>
      </c>
      <c r="LP5" s="143" t="s">
        <v>142</v>
      </c>
      <c r="LQ5" s="143" t="s">
        <v>143</v>
      </c>
      <c r="LR5" s="131"/>
      <c r="LS5" s="147"/>
      <c r="LU5" s="165" t="s">
        <v>133</v>
      </c>
      <c r="LV5" s="144" t="s">
        <v>134</v>
      </c>
      <c r="LW5" s="143" t="s">
        <v>135</v>
      </c>
      <c r="LY5" s="147"/>
      <c r="MA5" s="174"/>
      <c r="MB5" s="174"/>
      <c r="MC5" s="175" t="s">
        <v>61</v>
      </c>
      <c r="MD5" s="176" t="s">
        <v>62</v>
      </c>
      <c r="ME5" s="177"/>
      <c r="MF5" s="178" t="s">
        <v>61</v>
      </c>
      <c r="MG5" s="176" t="s">
        <v>62</v>
      </c>
      <c r="MH5" s="131"/>
      <c r="MI5" s="147"/>
      <c r="MK5" s="174"/>
      <c r="ML5" s="174"/>
      <c r="MM5" s="174"/>
      <c r="MN5" s="174"/>
      <c r="MO5" s="179" t="s">
        <v>162</v>
      </c>
      <c r="MP5" s="179" t="s">
        <v>163</v>
      </c>
      <c r="MQ5" s="131"/>
      <c r="MR5" s="147"/>
      <c r="MT5" s="180"/>
      <c r="MU5" s="180"/>
      <c r="MV5" s="180"/>
      <c r="MW5" s="180"/>
      <c r="MX5" s="180"/>
      <c r="MY5" s="180"/>
      <c r="MZ5" s="180"/>
      <c r="NA5" s="180"/>
      <c r="NB5" s="180"/>
      <c r="NC5" s="180"/>
      <c r="ND5" s="180"/>
      <c r="NE5" s="180"/>
      <c r="NF5" s="180"/>
      <c r="NG5" s="180"/>
      <c r="NH5" s="180"/>
      <c r="NI5" s="180"/>
      <c r="NJ5" s="180"/>
      <c r="NK5" s="180"/>
      <c r="NL5" s="180"/>
      <c r="NM5" s="180"/>
      <c r="NN5" s="180"/>
      <c r="NO5" s="180"/>
      <c r="NP5" s="180"/>
      <c r="NQ5" s="180"/>
      <c r="NR5" s="180"/>
      <c r="NS5" s="180"/>
      <c r="NT5" s="180"/>
      <c r="NU5" s="180"/>
      <c r="NV5" s="180"/>
      <c r="NW5" s="180"/>
      <c r="NX5" s="180"/>
      <c r="NY5" s="180"/>
      <c r="NZ5" s="180"/>
      <c r="OA5" s="180"/>
      <c r="OB5" s="180"/>
      <c r="OC5" s="180"/>
      <c r="OD5" s="180"/>
      <c r="OE5" s="180"/>
      <c r="OF5" s="180"/>
      <c r="OG5" s="180"/>
      <c r="OH5" s="180"/>
      <c r="OI5" s="180"/>
      <c r="OJ5" s="180"/>
      <c r="OK5" s="180"/>
      <c r="OL5" s="180"/>
      <c r="OM5" s="180"/>
      <c r="ON5" s="180"/>
      <c r="OO5" s="180"/>
    </row>
    <row r="6" spans="1:405" s="29" customFormat="1" ht="16.5" x14ac:dyDescent="0.3">
      <c r="B6" s="181">
        <v>1</v>
      </c>
      <c r="C6" s="182" t="s">
        <v>164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4"/>
      <c r="S6" s="12"/>
      <c r="T6" s="13"/>
      <c r="U6" s="12"/>
      <c r="V6" s="185"/>
      <c r="W6" s="186" t="s">
        <v>23</v>
      </c>
      <c r="X6" s="187"/>
      <c r="Y6" s="188"/>
      <c r="Z6" s="188"/>
      <c r="AA6" s="188"/>
      <c r="AB6" s="18" t="s">
        <v>432</v>
      </c>
      <c r="AC6" s="190"/>
      <c r="AD6" s="13"/>
      <c r="AE6" s="12"/>
      <c r="AF6" s="7"/>
      <c r="AG6" s="191" t="s">
        <v>23</v>
      </c>
      <c r="AK6" s="12"/>
      <c r="AL6" s="13"/>
      <c r="AM6" s="12"/>
      <c r="AN6" s="192">
        <v>1</v>
      </c>
      <c r="AO6" s="193"/>
      <c r="AP6" s="194" t="s">
        <v>164</v>
      </c>
      <c r="AQ6" s="7"/>
      <c r="AR6" s="195"/>
      <c r="CF6" s="196"/>
      <c r="CI6" s="196"/>
      <c r="CK6" s="12"/>
      <c r="CL6" s="13"/>
      <c r="CM6" s="12"/>
      <c r="CN6" s="192">
        <v>1</v>
      </c>
      <c r="CO6" s="961" t="s">
        <v>68</v>
      </c>
      <c r="CP6" s="860">
        <v>236572.53545833335</v>
      </c>
      <c r="CQ6" s="860">
        <v>4629570.149699999</v>
      </c>
      <c r="CR6" s="860">
        <v>525646.00049999997</v>
      </c>
      <c r="CS6" s="801">
        <f>CR6+CQ6</f>
        <v>5155216.1501999991</v>
      </c>
      <c r="CT6" s="859">
        <v>237677.50364015155</v>
      </c>
      <c r="CU6" s="860">
        <v>4660468.5751545439</v>
      </c>
      <c r="CV6" s="860">
        <v>384573.36331075378</v>
      </c>
      <c r="CW6" s="860">
        <f>CV6+CU6</f>
        <v>5045041.9384652972</v>
      </c>
      <c r="CX6" s="198"/>
      <c r="CY6" s="102"/>
      <c r="CZ6" s="12"/>
      <c r="DA6" s="192">
        <v>1</v>
      </c>
      <c r="DB6" s="963" t="s">
        <v>68</v>
      </c>
      <c r="DC6" s="865">
        <v>23822.940000000002</v>
      </c>
      <c r="DD6" s="801">
        <v>516348.01379999996</v>
      </c>
      <c r="DE6" s="865">
        <v>23866.121818181819</v>
      </c>
      <c r="DF6" s="860">
        <v>517223.30925454549</v>
      </c>
      <c r="DG6" s="860">
        <v>517223.30925454543</v>
      </c>
      <c r="DH6" s="12"/>
      <c r="DI6" s="102"/>
      <c r="DJ6" s="12"/>
      <c r="DK6" s="192">
        <v>1</v>
      </c>
      <c r="DL6" s="965" t="s">
        <v>68</v>
      </c>
      <c r="DM6" s="865">
        <v>127677.99850000002</v>
      </c>
      <c r="DN6" s="801">
        <v>3249390.7820000011</v>
      </c>
      <c r="DO6" s="865">
        <v>128425.76850000002</v>
      </c>
      <c r="DP6" s="860">
        <v>3412656.4946437916</v>
      </c>
      <c r="DQ6" s="12"/>
      <c r="DR6" s="13"/>
      <c r="DS6" s="12"/>
      <c r="DT6" s="192">
        <v>1</v>
      </c>
      <c r="DU6" s="870" t="s">
        <v>165</v>
      </c>
      <c r="DV6" s="993">
        <v>247730</v>
      </c>
      <c r="DW6" s="993">
        <v>305038</v>
      </c>
      <c r="DX6" s="993">
        <v>385782</v>
      </c>
      <c r="DY6" s="993">
        <f>SUM(DV6:DX6)</f>
        <v>938550</v>
      </c>
      <c r="DZ6" s="994">
        <v>232452</v>
      </c>
      <c r="EA6" s="993">
        <v>298001</v>
      </c>
      <c r="EB6" s="993">
        <v>352006</v>
      </c>
      <c r="EC6" s="993">
        <v>882459</v>
      </c>
      <c r="ED6" s="12"/>
      <c r="EE6" s="13"/>
      <c r="EF6" s="12"/>
      <c r="EG6" s="192">
        <v>1</v>
      </c>
      <c r="EH6" s="969" t="s">
        <v>166</v>
      </c>
      <c r="EI6" s="860">
        <v>267381.79599999997</v>
      </c>
      <c r="EJ6" s="860">
        <v>305094.33900000004</v>
      </c>
      <c r="EK6" s="860">
        <v>477585.31339999998</v>
      </c>
      <c r="EL6" s="801">
        <f>SUM(EI6:EK6)</f>
        <v>1050061.4484000001</v>
      </c>
      <c r="EM6" s="860">
        <v>266107.47745394724</v>
      </c>
      <c r="EN6" s="860">
        <v>305094.33900000004</v>
      </c>
      <c r="EO6" s="860">
        <v>493023.38309582084</v>
      </c>
      <c r="EP6" s="860">
        <f>SUM(EM6:EO6)</f>
        <v>1064225.1995497681</v>
      </c>
      <c r="EQ6" s="16"/>
      <c r="ER6" s="105"/>
      <c r="ES6" s="12"/>
      <c r="ET6" s="192">
        <v>1</v>
      </c>
      <c r="EU6" s="797" t="s">
        <v>166</v>
      </c>
      <c r="EV6" s="955">
        <v>213239.39</v>
      </c>
      <c r="EW6" s="955">
        <v>162393.25900000002</v>
      </c>
      <c r="EX6" s="955">
        <v>105106.77599999998</v>
      </c>
      <c r="EY6" s="801">
        <f>SUM(EV6:EX6)</f>
        <v>480739.42500000005</v>
      </c>
      <c r="EZ6" s="955">
        <v>202334.10366827415</v>
      </c>
      <c r="FA6" s="955">
        <v>150231.90399999998</v>
      </c>
      <c r="FB6" s="955">
        <v>95627.938710191083</v>
      </c>
      <c r="FC6" s="801">
        <f>SUM(EZ6:FB6)</f>
        <v>448193.94637846516</v>
      </c>
      <c r="FD6" s="860">
        <f t="shared" ref="FD6" si="0">(FC6/$FC$9)*$FD$9</f>
        <v>327363.52898918267</v>
      </c>
      <c r="FE6" s="860">
        <f>(FC6/$FC$9)*$FE$9</f>
        <v>120830.476288431</v>
      </c>
      <c r="FF6" s="860">
        <f>SUM(FD6:FE6)</f>
        <v>448194.00527761364</v>
      </c>
      <c r="FG6" s="16"/>
      <c r="FH6" s="105"/>
      <c r="FI6" s="12"/>
      <c r="FJ6" s="192">
        <v>1</v>
      </c>
      <c r="FK6" s="194" t="s">
        <v>167</v>
      </c>
      <c r="FL6" s="199"/>
      <c r="FM6" s="200"/>
      <c r="FN6" s="200"/>
      <c r="FO6" s="200"/>
      <c r="FP6" s="201"/>
      <c r="FQ6" s="200"/>
      <c r="FR6" s="200"/>
      <c r="FS6" s="200"/>
      <c r="FT6" s="200"/>
      <c r="FU6" s="200"/>
      <c r="FV6" s="16"/>
      <c r="FW6" s="105"/>
      <c r="FX6" s="12"/>
      <c r="FY6" s="192">
        <v>1</v>
      </c>
      <c r="FZ6" s="969" t="s">
        <v>168</v>
      </c>
      <c r="GA6" s="860">
        <v>1200</v>
      </c>
      <c r="GB6" s="860">
        <v>714</v>
      </c>
      <c r="GC6" s="860">
        <v>1423.38</v>
      </c>
      <c r="GD6" s="801">
        <f t="shared" ref="GD6:GD11" si="1">SUM(GA6:GC6)</f>
        <v>3337.38</v>
      </c>
      <c r="GE6" s="860">
        <v>1200</v>
      </c>
      <c r="GF6" s="860">
        <v>714</v>
      </c>
      <c r="GG6" s="860">
        <v>1423.3799999999999</v>
      </c>
      <c r="GH6" s="860">
        <f>SUM(GE6:GG6)</f>
        <v>3337.38</v>
      </c>
      <c r="GI6" s="202"/>
      <c r="GJ6" s="203"/>
      <c r="GK6" s="12"/>
      <c r="GL6" s="192">
        <v>1</v>
      </c>
      <c r="GM6" s="973" t="s">
        <v>169</v>
      </c>
      <c r="GN6" s="883">
        <v>300657604</v>
      </c>
      <c r="GO6" s="883">
        <v>658226366</v>
      </c>
      <c r="GP6" s="883">
        <v>1121690182</v>
      </c>
      <c r="GQ6" s="884">
        <f>SUM(GN6:GP6)</f>
        <v>2080574152</v>
      </c>
      <c r="GR6" s="871">
        <v>301831871.77272731</v>
      </c>
      <c r="GS6" s="871">
        <v>658226366</v>
      </c>
      <c r="GT6" s="871">
        <v>1131472285.5</v>
      </c>
      <c r="GU6" s="871">
        <f>SUM(GR6:GT6)</f>
        <v>2091530523.2727273</v>
      </c>
      <c r="GV6" s="204"/>
      <c r="GW6" s="13"/>
      <c r="GX6" s="12"/>
      <c r="GY6" s="12"/>
      <c r="GZ6" s="192">
        <v>1</v>
      </c>
      <c r="HA6" s="886">
        <v>1</v>
      </c>
      <c r="HB6" s="886">
        <v>10</v>
      </c>
      <c r="HC6" s="886">
        <v>21</v>
      </c>
      <c r="HD6" s="887">
        <v>12516790</v>
      </c>
      <c r="HE6" s="888">
        <v>19384421</v>
      </c>
      <c r="HF6" s="800">
        <f>HC6/HB6</f>
        <v>2.1</v>
      </c>
      <c r="HG6" s="800">
        <f>HE6/HD6</f>
        <v>1.5486735017524462</v>
      </c>
      <c r="HH6" s="802">
        <v>1</v>
      </c>
      <c r="HI6" s="802">
        <v>0</v>
      </c>
      <c r="HJ6" s="802">
        <v>0</v>
      </c>
      <c r="HK6" s="12"/>
      <c r="HL6" s="55"/>
      <c r="HM6" s="12"/>
      <c r="HN6" s="205">
        <v>1</v>
      </c>
      <c r="HO6" s="890">
        <v>1</v>
      </c>
      <c r="HP6" s="799">
        <f t="shared" ref="HP6:HP26" si="2">HG6</f>
        <v>1.5486735017524462</v>
      </c>
      <c r="HQ6" s="860">
        <v>0</v>
      </c>
      <c r="HR6" s="801">
        <f>HP6*HQ6</f>
        <v>0</v>
      </c>
      <c r="HS6" s="860">
        <v>1356976</v>
      </c>
      <c r="HT6" s="975">
        <v>2097249</v>
      </c>
      <c r="HU6" s="860">
        <v>642350.24089999998</v>
      </c>
      <c r="HV6" s="975">
        <v>1039284</v>
      </c>
      <c r="HW6" s="860">
        <v>185450.87522688613</v>
      </c>
      <c r="HX6" s="955">
        <v>287202.85634067771</v>
      </c>
      <c r="HY6" s="860">
        <f>SUM(HQ6,HU6,HW6)</f>
        <v>827801.1161268861</v>
      </c>
      <c r="HZ6" s="860">
        <f>SUM(HR6,HV6,HX6)</f>
        <v>1326486.8563406777</v>
      </c>
      <c r="IA6" s="206"/>
      <c r="IB6" s="207"/>
      <c r="IC6" s="206"/>
      <c r="ID6" s="208">
        <v>1</v>
      </c>
      <c r="IE6" s="892">
        <v>1</v>
      </c>
      <c r="IF6" s="896">
        <f t="shared" ref="IF6:IG25" si="3">HF6</f>
        <v>2.1</v>
      </c>
      <c r="IG6" s="897">
        <f t="shared" si="3"/>
        <v>1.5486735017524462</v>
      </c>
      <c r="IH6" s="955">
        <v>308719.11148731643</v>
      </c>
      <c r="II6" s="801">
        <f>IH6*$IG6</f>
        <v>478105.10744496621</v>
      </c>
      <c r="IJ6" s="955">
        <v>43185.960299999999</v>
      </c>
      <c r="IK6" s="801">
        <f>IJ6*$IG6</f>
        <v>66880.952364343117</v>
      </c>
      <c r="IL6" s="955">
        <v>201334.62821268354</v>
      </c>
      <c r="IM6" s="801">
        <f>IL6*IF6</f>
        <v>422802.71924663545</v>
      </c>
      <c r="IN6" s="955">
        <v>352496.2757114711</v>
      </c>
      <c r="IO6" s="995">
        <v>774819.60972537647</v>
      </c>
      <c r="IP6" s="955">
        <v>53385.492599999976</v>
      </c>
      <c r="IQ6" s="801">
        <f>IP6*$IG6</f>
        <v>82676.69776762127</v>
      </c>
      <c r="IR6" s="955">
        <v>14212.910200000004</v>
      </c>
      <c r="IS6" s="801">
        <f>IR6*$IG6</f>
        <v>22011.157409527066</v>
      </c>
      <c r="IT6" s="955">
        <v>21252.47</v>
      </c>
      <c r="IU6" s="801">
        <f>IT6*$IG6</f>
        <v>32913.137135788813</v>
      </c>
      <c r="IV6" s="955">
        <v>112516.38350000001</v>
      </c>
      <c r="IW6" s="801">
        <f>IV6*$IG6</f>
        <v>174251.14163946616</v>
      </c>
      <c r="IX6" s="860">
        <f>IH6+IJ6+IL6+IN6+IP6+IT6+IV6+IR6</f>
        <v>1107103.2320114712</v>
      </c>
      <c r="IY6" s="860">
        <f>II6+IK6+IM6+IO6+IQ6+IU6+IW6+IS6</f>
        <v>2054460.5227337247</v>
      </c>
      <c r="IZ6" s="898">
        <f t="shared" ref="IZ6:IZ26" si="4">IY6/HE6*100</f>
        <v>10.598513738087533</v>
      </c>
      <c r="JA6" s="12"/>
      <c r="JB6" s="13"/>
      <c r="JC6" s="12"/>
      <c r="JD6" s="192">
        <v>1</v>
      </c>
      <c r="JE6" s="886">
        <v>1</v>
      </c>
      <c r="JF6" s="796">
        <f t="shared" ref="JF6:JF25" si="5">HC6</f>
        <v>21</v>
      </c>
      <c r="JG6" s="977">
        <v>20</v>
      </c>
      <c r="JH6" s="859">
        <f t="shared" ref="JH6:JH25" si="6">HE6</f>
        <v>19384421</v>
      </c>
      <c r="JI6" s="859">
        <f>JH6*$JK$26</f>
        <v>19305451.581648845</v>
      </c>
      <c r="JJ6" s="904">
        <f>JG6/JF6</f>
        <v>0.95238095238095233</v>
      </c>
      <c r="JK6" s="904">
        <f>JI6/JH6</f>
        <v>0.99592613994758183</v>
      </c>
      <c r="JL6" s="904">
        <f>LC7/LB7</f>
        <v>1.0047182313028156</v>
      </c>
      <c r="JM6" s="886" t="s">
        <v>424</v>
      </c>
      <c r="JN6" s="209"/>
      <c r="JO6" s="210"/>
      <c r="JP6" s="209"/>
      <c r="JQ6" s="192">
        <v>1</v>
      </c>
      <c r="JR6" s="886">
        <v>1</v>
      </c>
      <c r="JS6" s="910" t="str">
        <f t="shared" ref="JS6:JS25" si="7">JM6</f>
        <v>Q4</v>
      </c>
      <c r="JT6" s="911">
        <f t="shared" ref="JT6:JT26" si="8">JL6</f>
        <v>1.0047182313028156</v>
      </c>
      <c r="JU6" s="860">
        <f>HR6</f>
        <v>0</v>
      </c>
      <c r="JV6" s="860">
        <f>JU6*JL6</f>
        <v>0</v>
      </c>
      <c r="JW6" s="860">
        <f t="shared" ref="JW6:JW26" si="9">HT6</f>
        <v>2097249</v>
      </c>
      <c r="JX6" s="860">
        <f>HE6/$HE$26*$JX$26</f>
        <v>2129991.8273676471</v>
      </c>
      <c r="JY6" s="860">
        <f t="shared" ref="JY6:JY25" si="10">HV6</f>
        <v>1039284</v>
      </c>
      <c r="JZ6" s="860">
        <f t="shared" ref="JZ6:JZ25" si="11">HE6/$HE$26*$JZ$26</f>
        <v>956404.21532753366</v>
      </c>
      <c r="KA6" s="860">
        <f>HX6</f>
        <v>287202.85634067771</v>
      </c>
      <c r="KB6" s="860">
        <f>HE6/$HE$26*$KB$26</f>
        <v>41962.27567193647</v>
      </c>
      <c r="KC6" s="860">
        <f>SUM(JU6,JY6,KA6)</f>
        <v>1326486.8563406777</v>
      </c>
      <c r="KD6" s="860">
        <f>SUM(JV6,JZ6,KB6)</f>
        <v>998366.49099947012</v>
      </c>
      <c r="KE6" s="211"/>
      <c r="KF6" s="210"/>
      <c r="KG6" s="209"/>
      <c r="KH6" s="212">
        <v>1</v>
      </c>
      <c r="KI6" s="213"/>
      <c r="KJ6" s="213"/>
      <c r="KK6" s="214" t="s">
        <v>170</v>
      </c>
      <c r="KL6" s="215"/>
      <c r="KM6" s="216">
        <v>1.71293334</v>
      </c>
      <c r="KN6" s="217"/>
      <c r="KO6" s="216">
        <v>1.71293334</v>
      </c>
      <c r="KP6" s="217"/>
      <c r="KQ6" s="216">
        <v>1.71293334</v>
      </c>
      <c r="KR6" s="217"/>
      <c r="KS6" s="216">
        <v>1.71293334</v>
      </c>
      <c r="KT6" s="217"/>
      <c r="KU6" s="216">
        <v>1.71293334</v>
      </c>
      <c r="KV6" s="217"/>
      <c r="KW6" s="216">
        <v>1.71293334</v>
      </c>
      <c r="KX6" s="217"/>
      <c r="KY6" s="216">
        <v>1.71293334</v>
      </c>
      <c r="KZ6" s="217"/>
      <c r="LA6" s="216">
        <v>1.71293334</v>
      </c>
      <c r="LB6" s="215"/>
      <c r="LC6" s="218"/>
      <c r="LD6" s="219"/>
      <c r="LE6" s="220"/>
      <c r="LF6" s="12"/>
      <c r="LG6" s="192">
        <v>1</v>
      </c>
      <c r="LH6" s="921">
        <v>1</v>
      </c>
      <c r="LI6" s="860">
        <f t="shared" ref="LI6:LJ25" si="12">HY6</f>
        <v>827801.1161268861</v>
      </c>
      <c r="LJ6" s="860">
        <f t="shared" si="12"/>
        <v>1326486.8563406777</v>
      </c>
      <c r="LK6" s="801">
        <f t="shared" ref="LK6:LK25" si="13">KD6</f>
        <v>998366.49099947012</v>
      </c>
      <c r="LL6" s="860">
        <f t="shared" ref="LL6:LM25" si="14">IX6</f>
        <v>1107103.2320114712</v>
      </c>
      <c r="LM6" s="860">
        <f t="shared" si="14"/>
        <v>2054460.5227337247</v>
      </c>
      <c r="LN6" s="801">
        <f>LC7</f>
        <v>2064153.9426824858</v>
      </c>
      <c r="LO6" s="860">
        <f>LI6-LL6</f>
        <v>-279302.11588458507</v>
      </c>
      <c r="LP6" s="860">
        <f>LJ6-LM6</f>
        <v>-727973.66639304697</v>
      </c>
      <c r="LQ6" s="860">
        <f>LK6-LN6</f>
        <v>-1065787.4516830156</v>
      </c>
      <c r="LR6" s="12"/>
      <c r="LS6" s="221"/>
      <c r="LT6" s="8"/>
      <c r="LU6" s="192">
        <v>1</v>
      </c>
      <c r="LV6" s="194" t="s">
        <v>171</v>
      </c>
      <c r="LW6" s="181"/>
      <c r="LX6" s="8"/>
      <c r="LY6" s="221"/>
      <c r="LZ6" s="8"/>
      <c r="MA6" s="222" t="s">
        <v>133</v>
      </c>
      <c r="MB6" s="222"/>
      <c r="MC6" s="144" t="s">
        <v>134</v>
      </c>
      <c r="MD6" s="143" t="s">
        <v>135</v>
      </c>
      <c r="ME6" s="143"/>
      <c r="MF6" s="150" t="s">
        <v>136</v>
      </c>
      <c r="MG6" s="143" t="s">
        <v>137</v>
      </c>
      <c r="MH6" s="12"/>
      <c r="MI6" s="221"/>
      <c r="MJ6" s="8"/>
      <c r="MK6" s="222" t="s">
        <v>133</v>
      </c>
      <c r="ML6" s="32"/>
      <c r="MM6" s="18"/>
      <c r="MN6" s="12"/>
      <c r="MO6" s="12"/>
      <c r="MP6" s="12"/>
      <c r="MQ6" s="12"/>
      <c r="MR6" s="221"/>
      <c r="MS6" s="8"/>
    </row>
    <row r="7" spans="1:405" ht="16.5" x14ac:dyDescent="0.3">
      <c r="B7" s="143">
        <f>B6+1</f>
        <v>2</v>
      </c>
      <c r="C7" s="790"/>
      <c r="D7" s="660" t="s">
        <v>164</v>
      </c>
      <c r="E7" s="791"/>
      <c r="F7" s="792">
        <f>GQ7-F10-F11</f>
        <v>336825698.93769997</v>
      </c>
      <c r="G7" s="793">
        <f t="shared" ref="G7:G12" si="15">F7/F$24*100</f>
        <v>16.189074473213005</v>
      </c>
      <c r="H7" s="792">
        <f>GU7-H10-H11</f>
        <v>334169414.28032368</v>
      </c>
      <c r="I7" s="724">
        <f t="shared" ref="I7:I12" si="16">H7/H$24*100</f>
        <v>15.97726691348646</v>
      </c>
      <c r="J7" s="794">
        <f>H7-F7</f>
        <v>-2656284.6573762894</v>
      </c>
      <c r="K7" s="792">
        <f>K8+K9</f>
        <v>366109146</v>
      </c>
      <c r="L7" s="724">
        <f t="shared" ref="L7:L12" si="17">K7/K$24*100</f>
        <v>16.686292465036136</v>
      </c>
      <c r="M7" s="794">
        <f>K7-H7</f>
        <v>31939731.719676316</v>
      </c>
      <c r="N7" s="792">
        <f>N8+N9</f>
        <v>349340990.35323578</v>
      </c>
      <c r="O7" s="724">
        <f t="shared" ref="O7:O12" si="18">N7/N$24*100</f>
        <v>15.987173517500164</v>
      </c>
      <c r="P7" s="794">
        <f>N7-K7</f>
        <v>-16768155.646764219</v>
      </c>
      <c r="Q7" s="792">
        <f>N7-F7</f>
        <v>12515291.415535808</v>
      </c>
      <c r="R7" s="723">
        <f>O7/G7-1</f>
        <v>-1.247143288190522E-2</v>
      </c>
      <c r="V7" s="165">
        <f>V6+1</f>
        <v>1</v>
      </c>
      <c r="W7" s="805" t="s">
        <v>172</v>
      </c>
      <c r="X7" s="955">
        <v>86537.924694514746</v>
      </c>
      <c r="Y7" s="955">
        <v>3231727.2749500014</v>
      </c>
      <c r="Z7" s="955">
        <v>3840711.9133260008</v>
      </c>
      <c r="AA7" s="1001">
        <f>SUM(X7:Z7)</f>
        <v>7158977.112970517</v>
      </c>
      <c r="AB7" s="18"/>
      <c r="AF7" s="165">
        <v>1</v>
      </c>
      <c r="AG7" s="812" t="s">
        <v>77</v>
      </c>
      <c r="AH7" s="813">
        <f>CP9</f>
        <v>1754646.0788748774</v>
      </c>
      <c r="AI7" s="813">
        <f>DC9</f>
        <v>86327.441190476195</v>
      </c>
      <c r="AJ7" s="682">
        <f>DM9</f>
        <v>567379.8664464287</v>
      </c>
      <c r="AN7" s="222">
        <v>2</v>
      </c>
      <c r="AO7" s="18"/>
      <c r="AQ7" s="660" t="s">
        <v>164</v>
      </c>
      <c r="AR7" s="791"/>
      <c r="AS7" s="821">
        <v>120302111.8284</v>
      </c>
      <c r="AT7" s="822">
        <v>11.731293175407233</v>
      </c>
      <c r="AU7" s="783"/>
      <c r="AV7" s="821">
        <v>126126278.56186666</v>
      </c>
      <c r="AW7" s="822">
        <v>11.687249674641077</v>
      </c>
      <c r="AX7" s="823">
        <f>AW7/AT7-1</f>
        <v>-3.754360248918287E-3</v>
      </c>
      <c r="AY7" s="783"/>
      <c r="AZ7" s="821">
        <v>150728360.25</v>
      </c>
      <c r="BA7" s="822">
        <v>11.683129983994691</v>
      </c>
      <c r="BB7" s="823">
        <f>BA7/AW7-1</f>
        <v>-3.5249445002660806E-4</v>
      </c>
      <c r="BC7" s="783"/>
      <c r="BD7" s="821">
        <v>171227908</v>
      </c>
      <c r="BE7" s="822">
        <v>11.643318740549148</v>
      </c>
      <c r="BF7" s="823">
        <f>BE7/BA7-1</f>
        <v>-3.407583712590978E-3</v>
      </c>
      <c r="BG7" s="783"/>
      <c r="BH7" s="821">
        <v>176109569.11769998</v>
      </c>
      <c r="BI7" s="822">
        <v>11.588889837145976</v>
      </c>
      <c r="BJ7" s="823">
        <f>BI7/BE7-1</f>
        <v>-4.6746898041721829E-3</v>
      </c>
      <c r="BK7" s="783"/>
      <c r="BL7" s="821">
        <v>240705114.20000002</v>
      </c>
      <c r="BM7" s="822">
        <v>14.309535452395124</v>
      </c>
      <c r="BN7" s="823">
        <f>BM7/BI7-1</f>
        <v>0.23476326494438138</v>
      </c>
      <c r="BO7" s="783"/>
      <c r="BP7" s="821">
        <v>290609169.1400001</v>
      </c>
      <c r="BQ7" s="822">
        <v>15.66802926667919</v>
      </c>
      <c r="BR7" s="823">
        <f>BQ7/BM7-1</f>
        <v>9.4936262522532289E-2</v>
      </c>
      <c r="BS7" s="783"/>
      <c r="BT7" s="660">
        <v>313797305.58539999</v>
      </c>
      <c r="BU7" s="660">
        <v>15.993295780429609</v>
      </c>
      <c r="BV7" s="660">
        <f>BU7/BQ7-1</f>
        <v>2.0759886786920534E-2</v>
      </c>
      <c r="BW7" s="237">
        <v>311488574.40979999</v>
      </c>
      <c r="BX7" s="238">
        <v>16.091667659507319</v>
      </c>
      <c r="BY7" s="824">
        <f>BX7/BU7-1</f>
        <v>6.15081972022824E-3</v>
      </c>
      <c r="BZ7" s="824">
        <v>328676461.76159996</v>
      </c>
      <c r="CA7" s="824">
        <v>16.112403825565277</v>
      </c>
      <c r="CB7" s="824">
        <f>CA7/BX7-1</f>
        <v>1.2886275367305355E-3</v>
      </c>
      <c r="CC7" s="956">
        <v>326375296.65850008</v>
      </c>
      <c r="CD7" s="956">
        <v>15.703284067284784</v>
      </c>
      <c r="CE7" s="723">
        <f>CD7/CA7-1</f>
        <v>-2.5391602811701497E-2</v>
      </c>
      <c r="CF7" s="792">
        <f t="shared" ref="CF7:CG10" si="19">F7</f>
        <v>336825698.93769997</v>
      </c>
      <c r="CG7" s="824">
        <f t="shared" si="19"/>
        <v>16.189074473213005</v>
      </c>
      <c r="CH7" s="723">
        <f>CG7/CD7-1</f>
        <v>3.0935593080194224E-2</v>
      </c>
      <c r="CI7" s="825">
        <f>CF7/AS7-1</f>
        <v>1.7998319715131115</v>
      </c>
      <c r="CJ7" s="723">
        <f>(CI7+1)^(1/(2022-2004))-1</f>
        <v>5.886517470646857E-2</v>
      </c>
      <c r="CN7" s="222">
        <v>2</v>
      </c>
      <c r="CO7" s="961" t="s">
        <v>69</v>
      </c>
      <c r="CP7" s="650">
        <v>577097.11378000013</v>
      </c>
      <c r="CQ7" s="650">
        <v>10603705.998900004</v>
      </c>
      <c r="CR7" s="650">
        <v>2118043.7692</v>
      </c>
      <c r="CS7" s="794">
        <f>CR7+CQ7</f>
        <v>12721749.768100005</v>
      </c>
      <c r="CT7" s="861">
        <v>577097.11378000013</v>
      </c>
      <c r="CU7" s="650">
        <v>10603705.998900004</v>
      </c>
      <c r="CV7" s="650">
        <v>1626893.7401080688</v>
      </c>
      <c r="CW7" s="650">
        <f>CV7+CU7</f>
        <v>12230599.739008073</v>
      </c>
      <c r="CX7" s="198"/>
      <c r="CY7" s="20"/>
      <c r="DA7" s="222">
        <v>2</v>
      </c>
      <c r="DB7" s="963" t="s">
        <v>69</v>
      </c>
      <c r="DC7" s="813">
        <v>21303.197499999998</v>
      </c>
      <c r="DD7" s="866">
        <v>484236.19040000002</v>
      </c>
      <c r="DE7" s="813">
        <v>21303.197500000002</v>
      </c>
      <c r="DF7" s="650">
        <v>484236.19040000002</v>
      </c>
      <c r="DG7" s="650">
        <v>484236.19040000002</v>
      </c>
      <c r="DI7" s="20"/>
      <c r="DK7" s="222">
        <v>2</v>
      </c>
      <c r="DL7" s="965" t="s">
        <v>69</v>
      </c>
      <c r="DM7" s="813">
        <v>202091.788</v>
      </c>
      <c r="DN7" s="866">
        <v>5797870.1224999996</v>
      </c>
      <c r="DO7" s="813">
        <v>202091.788</v>
      </c>
      <c r="DP7" s="671">
        <v>6289020.1515919305</v>
      </c>
      <c r="DT7" s="222">
        <v>2</v>
      </c>
      <c r="DU7" s="872" t="s">
        <v>173</v>
      </c>
      <c r="DV7" s="650">
        <v>391984.10000000003</v>
      </c>
      <c r="DW7" s="650">
        <v>338958.95999999996</v>
      </c>
      <c r="DX7" s="650">
        <v>610555.29</v>
      </c>
      <c r="DY7" s="650">
        <v>1341498.3500000001</v>
      </c>
      <c r="DZ7" s="792"/>
      <c r="EA7" s="650"/>
      <c r="EB7" s="650"/>
      <c r="EC7" s="650"/>
      <c r="EG7" s="222">
        <v>2</v>
      </c>
      <c r="EH7" s="969" t="s">
        <v>174</v>
      </c>
      <c r="EI7" s="650">
        <v>57904.114000000001</v>
      </c>
      <c r="EJ7" s="650">
        <v>1239025.2</v>
      </c>
      <c r="EK7" s="650">
        <v>2313306.8732480002</v>
      </c>
      <c r="EL7" s="794">
        <f>SUM(EI7:EK7)</f>
        <v>3610236.1872479999</v>
      </c>
      <c r="EM7" s="650">
        <v>57904.114000000001</v>
      </c>
      <c r="EN7" s="650">
        <v>1239025.2</v>
      </c>
      <c r="EO7" s="650">
        <v>2341399.4332480002</v>
      </c>
      <c r="EP7" s="650">
        <f>SUM(EM7:EO7)</f>
        <v>3638328.7472480005</v>
      </c>
      <c r="EQ7" s="16"/>
      <c r="ER7" s="20"/>
      <c r="ET7" s="222">
        <v>2</v>
      </c>
      <c r="EU7" s="791" t="s">
        <v>174</v>
      </c>
      <c r="EV7" s="955">
        <v>42699.689999999995</v>
      </c>
      <c r="EW7" s="955">
        <v>136024</v>
      </c>
      <c r="EX7" s="955">
        <v>333397.58999999997</v>
      </c>
      <c r="EY7" s="794">
        <f>SUM(EV7:EX7)</f>
        <v>512121.27999999997</v>
      </c>
      <c r="EZ7" s="955">
        <v>38097.634750000005</v>
      </c>
      <c r="FA7" s="955">
        <v>129106.95000000001</v>
      </c>
      <c r="FB7" s="955">
        <v>314929.89600000007</v>
      </c>
      <c r="FC7" s="794">
        <f>SUM(EZ7:FB7)</f>
        <v>482134.4807500001</v>
      </c>
      <c r="FD7" s="650">
        <f>(FC7/$FC$9)*$FD$9</f>
        <v>352153.89752812323</v>
      </c>
      <c r="FE7" s="650">
        <f>(FC7/$FC$9)*$FE$9</f>
        <v>129980.64658130106</v>
      </c>
      <c r="FF7" s="650">
        <f t="shared" ref="FF7:FF9" si="20">SUM(FD7:FE7)</f>
        <v>482134.54410942429</v>
      </c>
      <c r="FG7" s="16"/>
      <c r="FH7" s="20"/>
      <c r="FJ7" s="222">
        <v>2</v>
      </c>
      <c r="FK7" s="242"/>
      <c r="FL7" s="877" t="s">
        <v>175</v>
      </c>
      <c r="FM7" s="650">
        <v>168882.95899999997</v>
      </c>
      <c r="FN7" s="650">
        <v>266037.8</v>
      </c>
      <c r="FO7" s="650">
        <v>517124.14181999996</v>
      </c>
      <c r="FP7" s="794">
        <f t="shared" ref="FP7:FP20" si="21">FM7+FO7+FN7</f>
        <v>952044.90081999986</v>
      </c>
      <c r="FQ7" s="650">
        <v>168947.75899999999</v>
      </c>
      <c r="FR7" s="650">
        <v>266037.8</v>
      </c>
      <c r="FS7" s="650">
        <v>519586.14181999996</v>
      </c>
      <c r="FT7" s="650">
        <v>954571.70081999991</v>
      </c>
      <c r="FU7" s="955">
        <v>954571.70081999991</v>
      </c>
      <c r="FV7" s="202"/>
      <c r="FW7" s="21"/>
      <c r="FY7" s="222">
        <v>2</v>
      </c>
      <c r="FZ7" s="969" t="s">
        <v>176</v>
      </c>
      <c r="GA7" s="650">
        <v>131130.37</v>
      </c>
      <c r="GB7" s="650">
        <v>81469.790000000008</v>
      </c>
      <c r="GC7" s="650">
        <v>174449.45</v>
      </c>
      <c r="GD7" s="794">
        <f t="shared" si="1"/>
        <v>387049.61</v>
      </c>
      <c r="GE7" s="650">
        <v>0</v>
      </c>
      <c r="GF7" s="650">
        <v>0</v>
      </c>
      <c r="GG7" s="650">
        <v>0</v>
      </c>
      <c r="GH7" s="650">
        <v>0</v>
      </c>
      <c r="GI7" s="202"/>
      <c r="GJ7" s="203"/>
      <c r="GL7" s="222">
        <v>2</v>
      </c>
      <c r="GM7" s="974" t="s">
        <v>164</v>
      </c>
      <c r="GN7" s="650">
        <v>49996013.61379452</v>
      </c>
      <c r="GO7" s="650">
        <v>109372423.602</v>
      </c>
      <c r="GP7" s="650">
        <v>183078905.3136</v>
      </c>
      <c r="GQ7" s="794">
        <f>SUM(GN7:GP7)</f>
        <v>342447342.52939451</v>
      </c>
      <c r="GR7" s="650">
        <v>47889922.036118187</v>
      </c>
      <c r="GS7" s="650">
        <v>107608162.42200001</v>
      </c>
      <c r="GT7" s="650">
        <v>183491099.26389998</v>
      </c>
      <c r="GU7" s="650">
        <f>SUM(GR7:GT7)</f>
        <v>338989183.72201818</v>
      </c>
      <c r="GZ7" s="222">
        <v>2</v>
      </c>
      <c r="HA7" s="663">
        <v>2</v>
      </c>
      <c r="HB7" s="663">
        <v>10</v>
      </c>
      <c r="HC7" s="663">
        <v>11</v>
      </c>
      <c r="HD7" s="682">
        <v>16081279.727272727</v>
      </c>
      <c r="HE7" s="682">
        <v>18208871</v>
      </c>
      <c r="HF7" s="724">
        <f t="shared" ref="HF7:HF26" si="22">HC7/HB7</f>
        <v>1.1000000000000001</v>
      </c>
      <c r="HG7" s="724">
        <f t="shared" ref="HG7:HG26" si="23">HE7/HD7</f>
        <v>1.1323023608077054</v>
      </c>
      <c r="HH7" s="723">
        <v>1</v>
      </c>
      <c r="HI7" s="723">
        <v>0</v>
      </c>
      <c r="HJ7" s="723">
        <v>0</v>
      </c>
      <c r="HL7" s="124"/>
      <c r="HN7" s="243">
        <v>2</v>
      </c>
      <c r="HO7" s="891">
        <v>2</v>
      </c>
      <c r="HP7" s="793">
        <f t="shared" si="2"/>
        <v>1.1323023608077054</v>
      </c>
      <c r="HQ7" s="650">
        <v>3119.62</v>
      </c>
      <c r="HR7" s="794">
        <f t="shared" ref="HR7:HR25" si="24">HP7*HQ7</f>
        <v>3532.3530908229336</v>
      </c>
      <c r="HS7" s="650">
        <v>1763065.2727272727</v>
      </c>
      <c r="HT7" s="975">
        <v>1993361</v>
      </c>
      <c r="HU7" s="650">
        <v>826501.34299999999</v>
      </c>
      <c r="HV7" s="975">
        <v>996780</v>
      </c>
      <c r="HW7" s="650">
        <v>224687.71386762871</v>
      </c>
      <c r="HX7" s="955">
        <v>247251.76703576761</v>
      </c>
      <c r="HY7" s="650">
        <f t="shared" ref="HY7:HZ25" si="25">SUM(HQ7,HU7,HW7)</f>
        <v>1054308.6768676287</v>
      </c>
      <c r="HZ7" s="650">
        <f t="shared" si="25"/>
        <v>1247564.1201265906</v>
      </c>
      <c r="IA7" s="206"/>
      <c r="IB7" s="207"/>
      <c r="IC7" s="206"/>
      <c r="ID7" s="244">
        <v>2</v>
      </c>
      <c r="IE7" s="891">
        <v>2</v>
      </c>
      <c r="IF7" s="899">
        <f t="shared" si="3"/>
        <v>1.1000000000000001</v>
      </c>
      <c r="IG7" s="900">
        <f>HG7</f>
        <v>1.1323023608077054</v>
      </c>
      <c r="IH7" s="955">
        <v>404817.96919065242</v>
      </c>
      <c r="II7" s="794">
        <f>IH7*$IG7</f>
        <v>458376.34221195668</v>
      </c>
      <c r="IJ7" s="955">
        <v>29623.045454545456</v>
      </c>
      <c r="IK7" s="794">
        <f t="shared" ref="IK7:IK25" si="26">IJ7*$IG7</f>
        <v>33542.244302495783</v>
      </c>
      <c r="IL7" s="955">
        <v>164524.33080934751</v>
      </c>
      <c r="IM7" s="794">
        <f>IL7*IF7</f>
        <v>180976.76389028228</v>
      </c>
      <c r="IN7" s="955">
        <v>325990.28390059911</v>
      </c>
      <c r="IO7" s="995">
        <v>367613.333148323</v>
      </c>
      <c r="IP7" s="955">
        <v>54401.691454545457</v>
      </c>
      <c r="IQ7" s="794">
        <f t="shared" ref="IQ7:IQ24" si="27">IP7*$IG7</f>
        <v>61599.163665914195</v>
      </c>
      <c r="IR7" s="955">
        <v>32794.422727272722</v>
      </c>
      <c r="IS7" s="794">
        <f t="shared" ref="IS7:IS25" si="28">IR7*$IG7</f>
        <v>37133.20227541677</v>
      </c>
      <c r="IT7" s="955">
        <v>47430.550909090911</v>
      </c>
      <c r="IU7" s="794">
        <f t="shared" ref="IU7:IU25" si="29">IT7*$IG7</f>
        <v>53705.724768773696</v>
      </c>
      <c r="IV7" s="955">
        <v>218873.50455000001</v>
      </c>
      <c r="IW7" s="794">
        <f t="shared" ref="IW7:IW25" si="30">IV7*$IG7</f>
        <v>247830.98592022108</v>
      </c>
      <c r="IX7" s="650">
        <f t="shared" ref="IX7:IY26" si="31">IH7+IJ7+IL7+IN7+IP7+IT7+IV7+IR7</f>
        <v>1278455.7989960536</v>
      </c>
      <c r="IY7" s="650">
        <f t="shared" si="31"/>
        <v>1440777.7601833835</v>
      </c>
      <c r="IZ7" s="683">
        <f t="shared" si="4"/>
        <v>7.9125046258133382</v>
      </c>
      <c r="JD7" s="222">
        <v>2</v>
      </c>
      <c r="JE7" s="663">
        <v>2</v>
      </c>
      <c r="JF7" s="660">
        <f t="shared" si="5"/>
        <v>11</v>
      </c>
      <c r="JG7" s="660">
        <f t="shared" ref="JG7:JG18" si="32">JF7</f>
        <v>11</v>
      </c>
      <c r="JH7" s="905">
        <f t="shared" si="6"/>
        <v>18208871</v>
      </c>
      <c r="JI7" s="905">
        <f>JH7*$JK$26</f>
        <v>18134690.607833467</v>
      </c>
      <c r="JJ7" s="906">
        <f t="shared" ref="JJ7:JJ26" si="33">JG7/JF7</f>
        <v>1</v>
      </c>
      <c r="JK7" s="906">
        <f t="shared" ref="JK7:JK26" si="34">JI7/JH7</f>
        <v>0.99592613994758206</v>
      </c>
      <c r="JL7" s="906">
        <f t="shared" ref="JL7:JL25" si="35">LC8/LB8</f>
        <v>1.027633594102999</v>
      </c>
      <c r="JM7" s="663" t="s">
        <v>238</v>
      </c>
      <c r="JN7" s="209"/>
      <c r="JO7" s="210"/>
      <c r="JP7" s="209"/>
      <c r="JQ7" s="222">
        <v>2</v>
      </c>
      <c r="JR7" s="663">
        <v>2</v>
      </c>
      <c r="JS7" s="912" t="str">
        <f t="shared" si="7"/>
        <v>Q3</v>
      </c>
      <c r="JT7" s="913">
        <f t="shared" si="8"/>
        <v>1.027633594102999</v>
      </c>
      <c r="JU7" s="671">
        <f t="shared" ref="JU7:JU25" si="36">HR7</f>
        <v>3532.3530908229336</v>
      </c>
      <c r="JV7" s="671">
        <f t="shared" ref="JV7:JV25" si="37">JU7*JL7</f>
        <v>3629.9647023632087</v>
      </c>
      <c r="JW7" s="671">
        <f t="shared" si="9"/>
        <v>1993361</v>
      </c>
      <c r="JX7" s="671">
        <f t="shared" ref="JX7:JX25" si="38">HE7/$HE$26*$JX$26</f>
        <v>2000820.4741112338</v>
      </c>
      <c r="JY7" s="671">
        <f t="shared" si="10"/>
        <v>996780</v>
      </c>
      <c r="JZ7" s="671">
        <f t="shared" si="11"/>
        <v>898403.98022490763</v>
      </c>
      <c r="KA7" s="671">
        <f t="shared" ref="KA7:KA25" si="39">HX7</f>
        <v>247251.76703576761</v>
      </c>
      <c r="KB7" s="671">
        <f t="shared" ref="KB7:KB25" si="40">HE7/$HE$26*$KB$26</f>
        <v>39417.512887113298</v>
      </c>
      <c r="KC7" s="671">
        <f t="shared" ref="KC7:KD25" si="41">SUM(JU7,JY7,KA7)</f>
        <v>1247564.1201265906</v>
      </c>
      <c r="KD7" s="671">
        <f t="shared" si="41"/>
        <v>941451.45781438414</v>
      </c>
      <c r="KE7" s="211"/>
      <c r="KF7" s="210"/>
      <c r="KG7" s="209"/>
      <c r="KH7" s="245">
        <f>KH6+1</f>
        <v>2</v>
      </c>
      <c r="KI7" s="917">
        <v>1</v>
      </c>
      <c r="KJ7" s="918">
        <f>JJ6</f>
        <v>0.95238095238095233</v>
      </c>
      <c r="KK7" s="918">
        <f>JK6</f>
        <v>0.99592613994758183</v>
      </c>
      <c r="KL7" s="898">
        <v>1.6546666699999999</v>
      </c>
      <c r="KM7" s="801">
        <f>II6*KM$6/KL7*KK7</f>
        <v>492924.56060836738</v>
      </c>
      <c r="KN7" s="898">
        <v>1.6546666699999999</v>
      </c>
      <c r="KO7" s="801">
        <f t="shared" ref="KO7:KO26" si="42">IK6*KO$6/KN7*KK7</f>
        <v>68954.009367192921</v>
      </c>
      <c r="KP7" s="898">
        <v>1.6546666699999999</v>
      </c>
      <c r="KQ7" s="801">
        <f t="shared" ref="KQ7:KQ26" si="43">IM6*KQ$6/KP7*KJ7</f>
        <v>416848.66615704575</v>
      </c>
      <c r="KR7" s="898">
        <v>1.6546666699999999</v>
      </c>
      <c r="KS7" s="801">
        <f>IO6*KS$6/KR7*KJ7</f>
        <v>763908.33389588259</v>
      </c>
      <c r="KT7" s="898">
        <v>1.6546666699999999</v>
      </c>
      <c r="KU7" s="801">
        <f t="shared" ref="KU7:KU26" si="44">IQ6*KU$6/KT7*KK7</f>
        <v>85239.36323844135</v>
      </c>
      <c r="KV7" s="898">
        <v>1.6546666699999999</v>
      </c>
      <c r="KW7" s="801">
        <f t="shared" ref="KW7:KW26" si="45">IS6*KW$6/KV7*KK7</f>
        <v>22693.420182342736</v>
      </c>
      <c r="KX7" s="898">
        <v>1.6546666699999999</v>
      </c>
      <c r="KY7" s="801">
        <f t="shared" ref="KY7:KY26" si="46">IU6*KY$6/KX7*$KK7</f>
        <v>33933.320117834381</v>
      </c>
      <c r="KZ7" s="898">
        <v>1.6546666699999999</v>
      </c>
      <c r="LA7" s="919">
        <f t="shared" ref="LA7:LA26" si="47">IW6*LA$6/KZ7*$KK7</f>
        <v>179652.26911537893</v>
      </c>
      <c r="LB7" s="646">
        <f t="shared" ref="LB7:LB26" si="48">IY6</f>
        <v>2054460.5227337247</v>
      </c>
      <c r="LC7" s="646">
        <f>KM7+KO7+KQ7+KS7+KU7+KY7+LA7+KW7</f>
        <v>2064153.9426824858</v>
      </c>
      <c r="LD7" s="16"/>
      <c r="LE7" s="220"/>
      <c r="LG7" s="222">
        <v>2</v>
      </c>
      <c r="LH7" s="922">
        <v>2</v>
      </c>
      <c r="LI7" s="650">
        <f t="shared" si="12"/>
        <v>1054308.6768676287</v>
      </c>
      <c r="LJ7" s="650">
        <f t="shared" si="12"/>
        <v>1247564.1201265906</v>
      </c>
      <c r="LK7" s="794">
        <f t="shared" si="13"/>
        <v>941451.45781438414</v>
      </c>
      <c r="LL7" s="650">
        <f t="shared" si="14"/>
        <v>1278455.7989960536</v>
      </c>
      <c r="LM7" s="650">
        <f t="shared" si="14"/>
        <v>1440777.7601833835</v>
      </c>
      <c r="LN7" s="794">
        <f t="shared" ref="LN7:LN25" si="49">LC8</f>
        <v>1480591.6280009192</v>
      </c>
      <c r="LO7" s="792">
        <f t="shared" ref="LO7:LQ26" si="50">LI7-LL7</f>
        <v>-224147.12212842493</v>
      </c>
      <c r="LP7" s="650">
        <f t="shared" si="50"/>
        <v>-193213.64005679288</v>
      </c>
      <c r="LQ7" s="650">
        <f t="shared" si="50"/>
        <v>-539140.17018653511</v>
      </c>
      <c r="LS7" s="221"/>
      <c r="LT7" s="8"/>
      <c r="LU7" s="222">
        <f>LU6+1</f>
        <v>2</v>
      </c>
      <c r="LV7" s="812" t="s">
        <v>177</v>
      </c>
      <c r="LW7" s="650">
        <f>'ABDA 8 month Phase I'!MC21</f>
        <v>109615433.06907611</v>
      </c>
      <c r="LX7" s="8"/>
      <c r="LY7" s="221"/>
      <c r="LZ7" s="8"/>
      <c r="MA7" s="192">
        <v>1</v>
      </c>
      <c r="MB7" s="194" t="s">
        <v>164</v>
      </c>
      <c r="MC7" s="197">
        <f>N7</f>
        <v>349340990.35323578</v>
      </c>
      <c r="MD7" s="246">
        <f t="shared" ref="MD7:MD12" si="51">MC7/$MC$34*100</f>
        <v>15.987173517500164</v>
      </c>
      <c r="ME7" s="29"/>
      <c r="MF7" s="247">
        <f>MF8+MF9</f>
        <v>365599209.62440002</v>
      </c>
      <c r="MG7" s="246">
        <f t="shared" ref="MG7:MG12" si="52">MF7/$MG$34*100</f>
        <v>16.731211519770802</v>
      </c>
      <c r="MI7" s="221"/>
      <c r="MJ7" s="8"/>
      <c r="MK7" s="192">
        <v>1</v>
      </c>
      <c r="ML7" s="248" t="str">
        <f t="shared" ref="ML7:ML21" si="53">MB7</f>
        <v>Revenue</v>
      </c>
      <c r="MM7" s="979">
        <v>371540376.1521095</v>
      </c>
      <c r="MN7" s="860">
        <f>MC7</f>
        <v>349340990.35323578</v>
      </c>
      <c r="MO7" s="860">
        <f>MN7-MM7</f>
        <v>-22199385.798873723</v>
      </c>
      <c r="MP7" s="830">
        <f>MO7/MM7</f>
        <v>-5.9749591763844374E-2</v>
      </c>
      <c r="MR7" s="221"/>
      <c r="MS7" s="8"/>
    </row>
    <row r="8" spans="1:405" s="29" customFormat="1" ht="16.5" x14ac:dyDescent="0.3">
      <c r="B8" s="181">
        <f>B7+1</f>
        <v>3</v>
      </c>
      <c r="C8" s="795"/>
      <c r="D8" s="796"/>
      <c r="E8" s="797" t="s">
        <v>178</v>
      </c>
      <c r="F8" s="798">
        <f>GQ8</f>
        <v>231071802</v>
      </c>
      <c r="G8" s="799">
        <f t="shared" si="15"/>
        <v>11.106155566619766</v>
      </c>
      <c r="H8" s="798">
        <f>GU8</f>
        <v>232634365.45454544</v>
      </c>
      <c r="I8" s="800">
        <f t="shared" si="16"/>
        <v>11.122685653687245</v>
      </c>
      <c r="J8" s="801">
        <f t="shared" ref="J8:J22" si="54">H8-F8</f>
        <v>1562563.4545454383</v>
      </c>
      <c r="K8" s="798">
        <f>HT26</f>
        <v>242214042</v>
      </c>
      <c r="L8" s="800">
        <f t="shared" si="17"/>
        <v>11.039479314047364</v>
      </c>
      <c r="M8" s="801">
        <f t="shared" ref="M8:M22" si="55">K8-H8</f>
        <v>9579676.5454545617</v>
      </c>
      <c r="N8" s="798">
        <f>JX26</f>
        <v>241088131.31030849</v>
      </c>
      <c r="O8" s="800">
        <f t="shared" si="18"/>
        <v>11.033110613130388</v>
      </c>
      <c r="P8" s="801">
        <f t="shared" ref="P8:P22" si="56">N8-K8</f>
        <v>-1125910.6896915138</v>
      </c>
      <c r="Q8" s="798">
        <f t="shared" ref="Q8:Q22" si="57">N8-F8</f>
        <v>10016329.310308486</v>
      </c>
      <c r="R8" s="802">
        <f t="shared" ref="R8:R22" si="58">O8/G8-1</f>
        <v>-6.5769791401912858E-3</v>
      </c>
      <c r="S8" s="12"/>
      <c r="T8" s="13"/>
      <c r="U8" s="12"/>
      <c r="V8" s="252">
        <f t="shared" ref="V8:V20" si="59">V7+1</f>
        <v>2</v>
      </c>
      <c r="W8" s="806" t="s">
        <v>179</v>
      </c>
      <c r="X8" s="807">
        <f>X7/F$24*100</f>
        <v>4.1593290299856978E-3</v>
      </c>
      <c r="Y8" s="800">
        <f>Y7/F$24*100</f>
        <v>0.15532862752540827</v>
      </c>
      <c r="Z8" s="800">
        <f>Z7/F$24*100</f>
        <v>0.18459865559869751</v>
      </c>
      <c r="AA8" s="800">
        <f>AA7/F$24*100</f>
        <v>0.34408661215409142</v>
      </c>
      <c r="AB8" s="227"/>
      <c r="AC8" s="233"/>
      <c r="AD8" s="13"/>
      <c r="AE8" s="12"/>
      <c r="AF8" s="252">
        <f>AF7+1</f>
        <v>2</v>
      </c>
      <c r="AG8" s="814" t="s">
        <v>180</v>
      </c>
      <c r="AH8" s="815">
        <f>AH7*3600/F$24</f>
        <v>3.0360493894810041</v>
      </c>
      <c r="AI8" s="815">
        <f>AI7*3600/F$24</f>
        <v>0.14937164723832172</v>
      </c>
      <c r="AJ8" s="815">
        <f>AJ7*3600/F$24</f>
        <v>0.98173262281648466</v>
      </c>
      <c r="AK8" s="12"/>
      <c r="AL8" s="13"/>
      <c r="AM8" s="12"/>
      <c r="AN8" s="192">
        <v>3</v>
      </c>
      <c r="AO8" s="254"/>
      <c r="AQ8" s="826" t="s">
        <v>178</v>
      </c>
      <c r="AR8" s="797"/>
      <c r="AS8" s="827">
        <v>79503570.349999994</v>
      </c>
      <c r="AT8" s="828">
        <v>7.7528122997362363</v>
      </c>
      <c r="AU8" s="829"/>
      <c r="AV8" s="827">
        <v>82983136.416666657</v>
      </c>
      <c r="AW8" s="828">
        <v>7.689473162491363</v>
      </c>
      <c r="AX8" s="830">
        <f>AW8/AT8-1</f>
        <v>-8.1698272570107644E-3</v>
      </c>
      <c r="AY8" s="829"/>
      <c r="AZ8" s="827">
        <v>98672863.5</v>
      </c>
      <c r="BA8" s="828">
        <v>7.6482480685877787</v>
      </c>
      <c r="BB8" s="830">
        <f>BA8/AW8-1</f>
        <v>-5.3612377639442599E-3</v>
      </c>
      <c r="BC8" s="829"/>
      <c r="BD8" s="827">
        <v>111397202</v>
      </c>
      <c r="BE8" s="828">
        <v>7.5748932801967008</v>
      </c>
      <c r="BF8" s="830">
        <f>BE8/BA8-1</f>
        <v>-9.5910576818701854E-3</v>
      </c>
      <c r="BG8" s="829"/>
      <c r="BH8" s="827">
        <v>116322907.89166664</v>
      </c>
      <c r="BI8" s="828">
        <v>7.6546287169214136</v>
      </c>
      <c r="BJ8" s="830">
        <f>BI8/BE8-1</f>
        <v>1.0526278559351843E-2</v>
      </c>
      <c r="BK8" s="829"/>
      <c r="BL8" s="827">
        <v>174683793.20000002</v>
      </c>
      <c r="BM8" s="828">
        <v>10.384673130282241</v>
      </c>
      <c r="BN8" s="830">
        <f>BM8/BI8-1</f>
        <v>0.35665275408143038</v>
      </c>
      <c r="BO8" s="829"/>
      <c r="BP8" s="827">
        <v>208646041.65000004</v>
      </c>
      <c r="BQ8" s="828">
        <v>11.249033527135891</v>
      </c>
      <c r="BR8" s="830">
        <f>BQ8/BM8-1</f>
        <v>8.3234242042065976E-2</v>
      </c>
      <c r="BS8" s="829"/>
      <c r="BT8" s="796">
        <v>219246568.60000002</v>
      </c>
      <c r="BU8" s="796">
        <v>11.174331831570692</v>
      </c>
      <c r="BV8" s="796">
        <f>BU8/BQ8-1</f>
        <v>-6.6407212126265991E-3</v>
      </c>
      <c r="BW8" s="258">
        <v>215103150.44999999</v>
      </c>
      <c r="BX8" s="259">
        <v>11.112344701929782</v>
      </c>
      <c r="BY8" s="831">
        <f t="shared" ref="BY8:BY20" si="60">BX8/BU8-1</f>
        <v>-5.5472784033295808E-3</v>
      </c>
      <c r="BZ8" s="831">
        <v>224292117.40000001</v>
      </c>
      <c r="CA8" s="831">
        <v>10.99526613822796</v>
      </c>
      <c r="CB8" s="831">
        <f t="shared" ref="CB8:CB20" si="61">CA8/BX8-1</f>
        <v>-1.0535901003996928E-2</v>
      </c>
      <c r="CC8" s="956">
        <v>228950330.75</v>
      </c>
      <c r="CD8" s="956">
        <v>11.015760438596976</v>
      </c>
      <c r="CE8" s="802">
        <f t="shared" ref="CE8:CE11" si="62">CD8/CA8-1</f>
        <v>1.8639203554848827E-3</v>
      </c>
      <c r="CF8" s="798">
        <f t="shared" si="19"/>
        <v>231071802</v>
      </c>
      <c r="CG8" s="831">
        <f t="shared" si="19"/>
        <v>11.106155566619766</v>
      </c>
      <c r="CH8" s="802">
        <f>CG8/CD8-1</f>
        <v>8.2059816502602079E-3</v>
      </c>
      <c r="CI8" s="832">
        <f t="shared" ref="CI8:CI19" si="63">CF8/AS8-1</f>
        <v>1.9064330190801302</v>
      </c>
      <c r="CJ8" s="802">
        <f>(CI8+1)^(1/(2022-2004))-1</f>
        <v>6.1065612459339613E-2</v>
      </c>
      <c r="CK8" s="12"/>
      <c r="CL8" s="13"/>
      <c r="CM8" s="12"/>
      <c r="CN8" s="263">
        <v>3</v>
      </c>
      <c r="CO8" s="962" t="s">
        <v>70</v>
      </c>
      <c r="CP8" s="863">
        <v>940976.42963654397</v>
      </c>
      <c r="CQ8" s="863">
        <v>17441604.080599997</v>
      </c>
      <c r="CR8" s="863">
        <v>2682727.8284999998</v>
      </c>
      <c r="CS8" s="864">
        <f>CR8+CQ8</f>
        <v>20124331.909099996</v>
      </c>
      <c r="CT8" s="862">
        <v>947926.42963654408</v>
      </c>
      <c r="CU8" s="863">
        <v>17578043.740599997</v>
      </c>
      <c r="CV8" s="863">
        <v>1959514.4296093306</v>
      </c>
      <c r="CW8" s="863">
        <f>CV8+CU8</f>
        <v>19537558.17020933</v>
      </c>
      <c r="CX8" s="198"/>
      <c r="CY8" s="20"/>
      <c r="CZ8" s="12"/>
      <c r="DA8" s="263">
        <v>3</v>
      </c>
      <c r="DB8" s="964" t="s">
        <v>70</v>
      </c>
      <c r="DC8" s="867">
        <v>41201.303690476198</v>
      </c>
      <c r="DD8" s="864">
        <v>804382.34765000001</v>
      </c>
      <c r="DE8" s="867">
        <v>41201.30369047619</v>
      </c>
      <c r="DF8" s="863">
        <v>804382.34764999989</v>
      </c>
      <c r="DG8" s="863">
        <v>804382.34765000001</v>
      </c>
      <c r="DH8" s="12"/>
      <c r="DI8" s="20"/>
      <c r="DJ8" s="12"/>
      <c r="DK8" s="263">
        <v>3</v>
      </c>
      <c r="DL8" s="966" t="s">
        <v>70</v>
      </c>
      <c r="DM8" s="867">
        <v>237610.0799464286</v>
      </c>
      <c r="DN8" s="864">
        <v>7476293.3502500001</v>
      </c>
      <c r="DO8" s="867">
        <v>239547.0799464286</v>
      </c>
      <c r="DP8" s="863">
        <v>8260756.9691406693</v>
      </c>
      <c r="DQ8" s="12"/>
      <c r="DR8" s="13"/>
      <c r="DS8" s="12"/>
      <c r="DT8" s="192">
        <v>3</v>
      </c>
      <c r="DU8" s="873" t="s">
        <v>181</v>
      </c>
      <c r="DV8" s="860">
        <v>2850509.1129999999</v>
      </c>
      <c r="DW8" s="860">
        <v>5975213.4032000005</v>
      </c>
      <c r="DX8" s="860">
        <v>12662919</v>
      </c>
      <c r="DY8" s="860">
        <v>21488641.516199999</v>
      </c>
      <c r="DZ8" s="798"/>
      <c r="EA8" s="860"/>
      <c r="EB8" s="860"/>
      <c r="EC8" s="860"/>
      <c r="ED8" s="18"/>
      <c r="EE8" s="264"/>
      <c r="EF8" s="18"/>
      <c r="EG8" s="263">
        <v>3</v>
      </c>
      <c r="EH8" s="970" t="s">
        <v>182</v>
      </c>
      <c r="EI8" s="860">
        <v>125804.27599999998</v>
      </c>
      <c r="EJ8" s="860">
        <v>273710.98</v>
      </c>
      <c r="EK8" s="860">
        <v>840589.31451599998</v>
      </c>
      <c r="EL8" s="801">
        <f>SUM(EI8:EK8)</f>
        <v>1240104.570516</v>
      </c>
      <c r="EM8" s="860">
        <v>125804.27599999998</v>
      </c>
      <c r="EN8" s="860">
        <v>273710.98</v>
      </c>
      <c r="EO8" s="860">
        <v>840589.31451599998</v>
      </c>
      <c r="EP8" s="860">
        <f>SUM(EM8:EO8)</f>
        <v>1240104.570516</v>
      </c>
      <c r="EQ8" s="16"/>
      <c r="ER8" s="20"/>
      <c r="ES8" s="12"/>
      <c r="ET8" s="263">
        <v>3</v>
      </c>
      <c r="EU8" s="876" t="s">
        <v>182</v>
      </c>
      <c r="EV8" s="955">
        <v>971516.0340000001</v>
      </c>
      <c r="EW8" s="955">
        <v>854178.56000000017</v>
      </c>
      <c r="EX8" s="955">
        <v>978091.87800000014</v>
      </c>
      <c r="EY8" s="801">
        <f>SUM(EV8:EX8)</f>
        <v>2803786.4720000005</v>
      </c>
      <c r="EZ8" s="955">
        <v>924269.45366363646</v>
      </c>
      <c r="FA8" s="955">
        <v>811720.19961666677</v>
      </c>
      <c r="FB8" s="955">
        <v>956101.68350000028</v>
      </c>
      <c r="FC8" s="801">
        <f>SUM(EZ8:FB8)</f>
        <v>2692091.3367803036</v>
      </c>
      <c r="FD8" s="860">
        <f>(FC8/$FC$9)*$FD$9</f>
        <v>1966319.5531548369</v>
      </c>
      <c r="FE8" s="860">
        <f>(FC8/$FC$9)*$FE$9</f>
        <v>725772.13740509457</v>
      </c>
      <c r="FF8" s="860">
        <f t="shared" si="20"/>
        <v>2692091.6905599316</v>
      </c>
      <c r="FG8" s="16"/>
      <c r="FH8" s="20"/>
      <c r="FI8" s="12"/>
      <c r="FJ8" s="192">
        <f>FJ7+1</f>
        <v>3</v>
      </c>
      <c r="FK8" s="265"/>
      <c r="FL8" s="878" t="s">
        <v>183</v>
      </c>
      <c r="FM8" s="860">
        <v>188892.37299999996</v>
      </c>
      <c r="FN8" s="860">
        <v>275252.03999999998</v>
      </c>
      <c r="FO8" s="860">
        <v>460452.28275999997</v>
      </c>
      <c r="FP8" s="801">
        <f t="shared" si="21"/>
        <v>924596.69576000003</v>
      </c>
      <c r="FQ8" s="860">
        <v>189243.32754545452</v>
      </c>
      <c r="FR8" s="860">
        <v>275252.03999999998</v>
      </c>
      <c r="FS8" s="860">
        <v>462708.78275999997</v>
      </c>
      <c r="FT8" s="860">
        <v>927204.15030545439</v>
      </c>
      <c r="FU8" s="955">
        <v>927204.15030545439</v>
      </c>
      <c r="FV8" s="16"/>
      <c r="FW8" s="266"/>
      <c r="FX8" s="12"/>
      <c r="FY8" s="192">
        <v>3</v>
      </c>
      <c r="FZ8" s="969" t="s">
        <v>184</v>
      </c>
      <c r="GA8" s="860">
        <v>0</v>
      </c>
      <c r="GB8" s="860">
        <v>1585.69</v>
      </c>
      <c r="GC8" s="860">
        <v>4560.8500000000004</v>
      </c>
      <c r="GD8" s="801">
        <f t="shared" si="1"/>
        <v>6146.5400000000009</v>
      </c>
      <c r="GE8" s="860">
        <v>0</v>
      </c>
      <c r="GF8" s="860">
        <v>1585.69</v>
      </c>
      <c r="GG8" s="860">
        <v>4560.8499999999995</v>
      </c>
      <c r="GH8" s="860">
        <f>SUM(GE8:GG8)</f>
        <v>6146.5399999999991</v>
      </c>
      <c r="GI8" s="202"/>
      <c r="GJ8" s="203"/>
      <c r="GK8" s="12"/>
      <c r="GL8" s="192">
        <v>3</v>
      </c>
      <c r="GM8" s="974" t="s">
        <v>185</v>
      </c>
      <c r="GN8" s="860">
        <v>32659360</v>
      </c>
      <c r="GO8" s="860">
        <v>73143841</v>
      </c>
      <c r="GP8" s="860">
        <v>125268601</v>
      </c>
      <c r="GQ8" s="801">
        <f>SUM(GN8:GP8)</f>
        <v>231071802</v>
      </c>
      <c r="GR8" s="860">
        <v>32785892.454545457</v>
      </c>
      <c r="GS8" s="860">
        <v>73143841</v>
      </c>
      <c r="GT8" s="860">
        <v>126704632</v>
      </c>
      <c r="GU8" s="860">
        <f>SUM(GR8:GT8)</f>
        <v>232634365.45454544</v>
      </c>
      <c r="GV8" s="12"/>
      <c r="GW8" s="13"/>
      <c r="GX8" s="12"/>
      <c r="GY8" s="12"/>
      <c r="GZ8" s="192">
        <v>3</v>
      </c>
      <c r="HA8" s="886">
        <v>3</v>
      </c>
      <c r="HB8" s="886">
        <v>10</v>
      </c>
      <c r="HC8" s="886">
        <v>12</v>
      </c>
      <c r="HD8" s="887">
        <v>20344988.5</v>
      </c>
      <c r="HE8" s="887">
        <v>32658783</v>
      </c>
      <c r="HF8" s="800">
        <f t="shared" si="22"/>
        <v>1.2</v>
      </c>
      <c r="HG8" s="800">
        <f t="shared" si="23"/>
        <v>1.6052495188188483</v>
      </c>
      <c r="HH8" s="802">
        <v>0.91666666666666663</v>
      </c>
      <c r="HI8" s="802">
        <v>8.3333333333333329E-2</v>
      </c>
      <c r="HJ8" s="802">
        <v>0</v>
      </c>
      <c r="HK8" s="12"/>
      <c r="HL8" s="13"/>
      <c r="HM8" s="12"/>
      <c r="HN8" s="267">
        <v>3</v>
      </c>
      <c r="HO8" s="892">
        <v>3</v>
      </c>
      <c r="HP8" s="799">
        <f t="shared" si="2"/>
        <v>1.6052495188188483</v>
      </c>
      <c r="HQ8" s="860">
        <v>1380.25</v>
      </c>
      <c r="HR8" s="801">
        <f t="shared" si="24"/>
        <v>2215.6456483497154</v>
      </c>
      <c r="HS8" s="860">
        <v>3040578</v>
      </c>
      <c r="HT8" s="975">
        <v>3540202</v>
      </c>
      <c r="HU8" s="860">
        <v>1529821.8165000002</v>
      </c>
      <c r="HV8" s="975">
        <v>1806306</v>
      </c>
      <c r="HW8" s="860">
        <v>225000</v>
      </c>
      <c r="HX8" s="955">
        <v>270000</v>
      </c>
      <c r="HY8" s="860">
        <f t="shared" si="25"/>
        <v>1756202.0665000002</v>
      </c>
      <c r="HZ8" s="860">
        <f t="shared" si="25"/>
        <v>2078521.6456483498</v>
      </c>
      <c r="IA8" s="206"/>
      <c r="IB8" s="207"/>
      <c r="IC8" s="206"/>
      <c r="ID8" s="208">
        <v>3</v>
      </c>
      <c r="IE8" s="892">
        <v>3</v>
      </c>
      <c r="IF8" s="896">
        <f t="shared" si="3"/>
        <v>1.2</v>
      </c>
      <c r="IG8" s="897">
        <f t="shared" si="3"/>
        <v>1.6052495188188483</v>
      </c>
      <c r="IH8" s="955">
        <v>577305.36855060607</v>
      </c>
      <c r="II8" s="801">
        <f t="shared" ref="II8:II25" si="64">IH8*$IG8</f>
        <v>926719.1650773983</v>
      </c>
      <c r="IJ8" s="955">
        <v>32067.097500000003</v>
      </c>
      <c r="IK8" s="801">
        <f>IJ8*$IG8</f>
        <v>51475.692831792097</v>
      </c>
      <c r="IL8" s="955">
        <v>345698.17394939391</v>
      </c>
      <c r="IM8" s="801">
        <f>IL8*IF8</f>
        <v>414837.8087392727</v>
      </c>
      <c r="IN8" s="955">
        <v>450099.62629260041</v>
      </c>
      <c r="IO8" s="995">
        <v>568283.17533084238</v>
      </c>
      <c r="IP8" s="955">
        <v>59748.991000000009</v>
      </c>
      <c r="IQ8" s="801">
        <f t="shared" si="27"/>
        <v>95912.039052661712</v>
      </c>
      <c r="IR8" s="955">
        <v>52762.979000000007</v>
      </c>
      <c r="IS8" s="801">
        <f t="shared" si="28"/>
        <v>84697.746651199006</v>
      </c>
      <c r="IT8" s="955">
        <v>8488.5190000000002</v>
      </c>
      <c r="IU8" s="801">
        <f t="shared" si="29"/>
        <v>13626.191040234651</v>
      </c>
      <c r="IV8" s="955">
        <v>172420.86052500003</v>
      </c>
      <c r="IW8" s="801">
        <f t="shared" si="30"/>
        <v>276778.50339208805</v>
      </c>
      <c r="IX8" s="860">
        <f t="shared" si="31"/>
        <v>1698591.6158176006</v>
      </c>
      <c r="IY8" s="860">
        <f t="shared" si="31"/>
        <v>2432330.3221154893</v>
      </c>
      <c r="IZ8" s="898">
        <f t="shared" si="4"/>
        <v>7.4477065545139549</v>
      </c>
      <c r="JA8" s="12"/>
      <c r="JB8" s="13"/>
      <c r="JC8" s="12"/>
      <c r="JD8" s="192">
        <v>3</v>
      </c>
      <c r="JE8" s="886">
        <v>3</v>
      </c>
      <c r="JF8" s="796">
        <f t="shared" si="5"/>
        <v>12</v>
      </c>
      <c r="JG8" s="977">
        <v>11</v>
      </c>
      <c r="JH8" s="859">
        <f t="shared" si="6"/>
        <v>32658783</v>
      </c>
      <c r="JI8" s="859">
        <f>JH8*$JK$26</f>
        <v>32525735.688575711</v>
      </c>
      <c r="JJ8" s="904">
        <f t="shared" si="33"/>
        <v>0.91666666666666663</v>
      </c>
      <c r="JK8" s="904">
        <f t="shared" si="34"/>
        <v>0.99592613994758195</v>
      </c>
      <c r="JL8" s="904">
        <f t="shared" si="35"/>
        <v>0.99783232887614681</v>
      </c>
      <c r="JM8" s="886" t="s">
        <v>424</v>
      </c>
      <c r="JN8" s="209"/>
      <c r="JO8" s="210"/>
      <c r="JP8" s="209"/>
      <c r="JQ8" s="192">
        <v>3</v>
      </c>
      <c r="JR8" s="886">
        <v>3</v>
      </c>
      <c r="JS8" s="910" t="str">
        <f t="shared" si="7"/>
        <v>Q4</v>
      </c>
      <c r="JT8" s="911">
        <f t="shared" si="8"/>
        <v>0.99783232887614681</v>
      </c>
      <c r="JU8" s="860">
        <f t="shared" si="36"/>
        <v>2215.6456483497154</v>
      </c>
      <c r="JV8" s="860">
        <f t="shared" si="37"/>
        <v>2210.842857257097</v>
      </c>
      <c r="JW8" s="860">
        <f t="shared" si="9"/>
        <v>3540202</v>
      </c>
      <c r="JX8" s="860">
        <f t="shared" si="38"/>
        <v>3588600.3962549847</v>
      </c>
      <c r="JY8" s="860">
        <f t="shared" si="10"/>
        <v>1806306</v>
      </c>
      <c r="JZ8" s="860">
        <f t="shared" si="11"/>
        <v>1611345.4061210905</v>
      </c>
      <c r="KA8" s="860">
        <f t="shared" si="39"/>
        <v>270000</v>
      </c>
      <c r="KB8" s="860">
        <f t="shared" si="40"/>
        <v>70697.848305912907</v>
      </c>
      <c r="KC8" s="860">
        <f t="shared" si="41"/>
        <v>2078521.6456483498</v>
      </c>
      <c r="KD8" s="860">
        <f t="shared" si="41"/>
        <v>1684254.0972842604</v>
      </c>
      <c r="KE8" s="211"/>
      <c r="KF8" s="210"/>
      <c r="KG8" s="209"/>
      <c r="KH8" s="243">
        <f t="shared" ref="KH8:KH28" si="65">KH7+1</f>
        <v>3</v>
      </c>
      <c r="KI8" s="891">
        <v>2</v>
      </c>
      <c r="KJ8" s="920">
        <f t="shared" ref="KJ8:KK27" si="66">JJ7</f>
        <v>1</v>
      </c>
      <c r="KK8" s="920">
        <f t="shared" si="66"/>
        <v>0.99592613994758206</v>
      </c>
      <c r="KL8" s="683">
        <v>1.6626666699999999</v>
      </c>
      <c r="KM8" s="794">
        <f t="shared" ref="KM8:KM26" si="67">II7*KM$6/KL8*JK7</f>
        <v>470310.41634359997</v>
      </c>
      <c r="KN8" s="683">
        <v>1.6626666699999999</v>
      </c>
      <c r="KO8" s="794">
        <f t="shared" si="42"/>
        <v>34415.534638807636</v>
      </c>
      <c r="KP8" s="683">
        <v>1.6626666699999999</v>
      </c>
      <c r="KQ8" s="794">
        <f t="shared" si="43"/>
        <v>186448.15477835533</v>
      </c>
      <c r="KR8" s="683">
        <v>1.6626666699999999</v>
      </c>
      <c r="KS8" s="794">
        <f t="shared" ref="KS8:KS26" si="68">IO7*KS$6/KR8*KJ8</f>
        <v>378727.2253303121</v>
      </c>
      <c r="KT8" s="683">
        <v>1.6626666699999999</v>
      </c>
      <c r="KU8" s="794">
        <f t="shared" si="44"/>
        <v>63202.930959157966</v>
      </c>
      <c r="KV8" s="683">
        <v>1.6626666699999999</v>
      </c>
      <c r="KW8" s="794">
        <f t="shared" si="45"/>
        <v>38099.985130224784</v>
      </c>
      <c r="KX8" s="683">
        <v>1.6626666699999999</v>
      </c>
      <c r="KY8" s="794">
        <f t="shared" si="46"/>
        <v>55103.98214303366</v>
      </c>
      <c r="KZ8" s="683">
        <v>1.6626666699999999</v>
      </c>
      <c r="LA8" s="794">
        <f t="shared" si="47"/>
        <v>254283.39867742776</v>
      </c>
      <c r="LB8" s="650">
        <f t="shared" si="48"/>
        <v>1440777.7601833835</v>
      </c>
      <c r="LC8" s="650">
        <f>KM8+KO8+KQ8+KS8+KU8+KY8+LA8+KW8</f>
        <v>1480591.6280009192</v>
      </c>
      <c r="LD8" s="16"/>
      <c r="LE8" s="220"/>
      <c r="LF8" s="12"/>
      <c r="LG8" s="192">
        <v>3</v>
      </c>
      <c r="LH8" s="921">
        <v>3</v>
      </c>
      <c r="LI8" s="860">
        <f t="shared" si="12"/>
        <v>1756202.0665000002</v>
      </c>
      <c r="LJ8" s="860">
        <f t="shared" si="12"/>
        <v>2078521.6456483498</v>
      </c>
      <c r="LK8" s="801">
        <f t="shared" si="13"/>
        <v>1684254.0972842604</v>
      </c>
      <c r="LL8" s="860">
        <f t="shared" si="14"/>
        <v>1698591.6158176006</v>
      </c>
      <c r="LM8" s="860">
        <f t="shared" si="14"/>
        <v>2432330.3221154893</v>
      </c>
      <c r="LN8" s="801">
        <f t="shared" si="49"/>
        <v>2427057.829912567</v>
      </c>
      <c r="LO8" s="860">
        <f t="shared" si="50"/>
        <v>57610.450682399562</v>
      </c>
      <c r="LP8" s="860">
        <f t="shared" si="50"/>
        <v>-353808.67646713951</v>
      </c>
      <c r="LQ8" s="860">
        <f t="shared" si="50"/>
        <v>-742803.73262830661</v>
      </c>
      <c r="LR8" s="12"/>
      <c r="LS8" s="13"/>
      <c r="LT8" s="12"/>
      <c r="LU8" s="192">
        <f t="shared" ref="LU8:LU13" si="69">LU7+1</f>
        <v>3</v>
      </c>
      <c r="LV8" s="923" t="s">
        <v>42</v>
      </c>
      <c r="LW8" s="924">
        <f>'ABDA 8 month Phase I'!MC8</f>
        <v>241088131.31030849</v>
      </c>
      <c r="LX8" s="12"/>
      <c r="LY8" s="13"/>
      <c r="LZ8" s="12"/>
      <c r="MA8" s="222">
        <f>MA7+1</f>
        <v>2</v>
      </c>
      <c r="MB8" s="812" t="s">
        <v>178</v>
      </c>
      <c r="MC8" s="650">
        <f>N8</f>
        <v>241088131.31030849</v>
      </c>
      <c r="MD8" s="747">
        <f t="shared" si="51"/>
        <v>11.033110613130388</v>
      </c>
      <c r="ME8" s="660"/>
      <c r="MF8" s="792">
        <f>MC8</f>
        <v>241088131.31030849</v>
      </c>
      <c r="MG8" s="747">
        <f t="shared" si="52"/>
        <v>11.033110613130388</v>
      </c>
      <c r="MH8" s="12"/>
      <c r="MI8" s="13"/>
      <c r="MJ8" s="12"/>
      <c r="MK8" s="222">
        <f>MK7+1</f>
        <v>2</v>
      </c>
      <c r="ML8" s="812" t="str">
        <f t="shared" si="53"/>
        <v>Less Purchases</v>
      </c>
      <c r="MM8" s="979">
        <v>239866309.41368827</v>
      </c>
      <c r="MN8" s="650">
        <f>MC8</f>
        <v>241088131.31030849</v>
      </c>
      <c r="MO8" s="650">
        <f t="shared" ref="MO8:MO32" si="70">MN8-MM8</f>
        <v>1221821.896620214</v>
      </c>
      <c r="MP8" s="723">
        <f t="shared" ref="MP8:MP31" si="71">MO8/MM8</f>
        <v>5.0937620193796549E-3</v>
      </c>
      <c r="MQ8" s="12"/>
      <c r="MR8" s="13"/>
      <c r="MS8" s="12"/>
    </row>
    <row r="9" spans="1:405" ht="17.25" thickBot="1" x14ac:dyDescent="0.35">
      <c r="B9" s="143">
        <f t="shared" ref="B9:B22" si="72">B8+1</f>
        <v>4</v>
      </c>
      <c r="C9" s="790"/>
      <c r="D9" s="660" t="s">
        <v>186</v>
      </c>
      <c r="E9" s="791"/>
      <c r="F9" s="792">
        <f>F7-F8</f>
        <v>105753896.93769997</v>
      </c>
      <c r="G9" s="793">
        <f t="shared" si="15"/>
        <v>5.0829189065932399</v>
      </c>
      <c r="H9" s="792">
        <f>H7-H8</f>
        <v>101535048.82577825</v>
      </c>
      <c r="I9" s="724">
        <f t="shared" si="16"/>
        <v>4.8545812597992137</v>
      </c>
      <c r="J9" s="794">
        <f t="shared" si="54"/>
        <v>-4218848.1119217277</v>
      </c>
      <c r="K9" s="792">
        <f>HV26</f>
        <v>123895104</v>
      </c>
      <c r="L9" s="724">
        <f t="shared" si="17"/>
        <v>5.6468131509887716</v>
      </c>
      <c r="M9" s="794">
        <f t="shared" si="55"/>
        <v>22360055.174221754</v>
      </c>
      <c r="N9" s="792">
        <f>JZ26</f>
        <v>108252859.04292728</v>
      </c>
      <c r="O9" s="724">
        <f t="shared" si="18"/>
        <v>4.9540629043697759</v>
      </c>
      <c r="P9" s="794">
        <f t="shared" si="56"/>
        <v>-15642244.95707272</v>
      </c>
      <c r="Q9" s="792">
        <f t="shared" si="57"/>
        <v>2498962.1052273065</v>
      </c>
      <c r="R9" s="723">
        <f>O9/G9-1</f>
        <v>-2.5350788511758537E-2</v>
      </c>
      <c r="V9" s="185"/>
      <c r="W9" s="186" t="s">
        <v>24</v>
      </c>
      <c r="X9" s="269"/>
      <c r="Y9" s="270"/>
      <c r="Z9" s="270"/>
      <c r="AA9" s="270"/>
      <c r="AB9" s="189"/>
      <c r="AC9" s="234"/>
      <c r="AF9" s="271">
        <f t="shared" ref="AF9:AF21" si="73">AF8+1</f>
        <v>3</v>
      </c>
      <c r="AG9" s="816" t="s">
        <v>187</v>
      </c>
      <c r="AH9" s="817">
        <f>F14/AH7</f>
        <v>21.657528709018845</v>
      </c>
      <c r="AI9" s="817">
        <f>F15/AI7</f>
        <v>20.908375447703264</v>
      </c>
      <c r="AJ9" s="817">
        <f>F16/AJ7</f>
        <v>29.122560090542329</v>
      </c>
      <c r="AL9" s="273"/>
      <c r="AN9" s="222">
        <v>4</v>
      </c>
      <c r="AO9" s="18"/>
      <c r="AQ9" s="660" t="s">
        <v>188</v>
      </c>
      <c r="AR9" s="791"/>
      <c r="AS9" s="821">
        <v>40798541.478400007</v>
      </c>
      <c r="AT9" s="822">
        <v>3.9784808756709964</v>
      </c>
      <c r="AU9" s="783"/>
      <c r="AV9" s="821">
        <v>43143142.145199999</v>
      </c>
      <c r="AW9" s="822">
        <v>3.9977765121497129</v>
      </c>
      <c r="AX9" s="823">
        <f>AW9/AT9-1</f>
        <v>4.8500010636502999E-3</v>
      </c>
      <c r="AY9" s="783"/>
      <c r="AZ9" s="821">
        <v>52055496.75</v>
      </c>
      <c r="BA9" s="822">
        <v>4.0348819154069133</v>
      </c>
      <c r="BB9" s="823">
        <f>BA9/AW9-1</f>
        <v>9.2815101455603344E-3</v>
      </c>
      <c r="BC9" s="783"/>
      <c r="BD9" s="821">
        <v>59830706</v>
      </c>
      <c r="BE9" s="822">
        <v>4.0684254603524463</v>
      </c>
      <c r="BF9" s="823">
        <f>BE9/BA9-1</f>
        <v>8.313389499070345E-3</v>
      </c>
      <c r="BG9" s="783"/>
      <c r="BH9" s="821">
        <v>59786661.226033345</v>
      </c>
      <c r="BI9" s="822">
        <v>3.9342611202245616</v>
      </c>
      <c r="BJ9" s="823">
        <f>BI9/BE9-1</f>
        <v>-3.2976968961417885E-2</v>
      </c>
      <c r="BK9" s="783"/>
      <c r="BL9" s="821">
        <v>66021321</v>
      </c>
      <c r="BM9" s="822">
        <v>3.9248623221128827</v>
      </c>
      <c r="BN9" s="823">
        <f>BM9/BI9-1</f>
        <v>-2.3889614401452208E-3</v>
      </c>
      <c r="BO9" s="783"/>
      <c r="BP9" s="821">
        <v>81963127.490000069</v>
      </c>
      <c r="BQ9" s="822">
        <v>4.4189957395433002</v>
      </c>
      <c r="BR9" s="823">
        <f>BQ9/BM9-1</f>
        <v>0.12589828046870433</v>
      </c>
      <c r="BS9" s="783"/>
      <c r="BT9" s="660">
        <v>94550736.985399961</v>
      </c>
      <c r="BU9" s="660">
        <v>4.8189639488589151</v>
      </c>
      <c r="BV9" s="660">
        <f>BU9/BQ9-1</f>
        <v>9.0511109964761305E-2</v>
      </c>
      <c r="BW9" s="237">
        <v>96385423.959800005</v>
      </c>
      <c r="BX9" s="238">
        <v>4.9793229575775362</v>
      </c>
      <c r="BY9" s="824">
        <f t="shared" si="60"/>
        <v>3.3276656646620495E-2</v>
      </c>
      <c r="BZ9" s="824">
        <v>104384344.36159995</v>
      </c>
      <c r="CA9" s="824">
        <v>5.1171376873373191</v>
      </c>
      <c r="CB9" s="824">
        <f t="shared" si="61"/>
        <v>2.7677403320476746E-2</v>
      </c>
      <c r="CC9" s="956">
        <v>97424965.908500075</v>
      </c>
      <c r="CD9" s="956">
        <v>4.6875236286878099</v>
      </c>
      <c r="CE9" s="723">
        <f t="shared" si="62"/>
        <v>-8.3955931010536666E-2</v>
      </c>
      <c r="CF9" s="792">
        <f t="shared" si="19"/>
        <v>105753896.93769997</v>
      </c>
      <c r="CG9" s="824">
        <f t="shared" si="19"/>
        <v>5.0829189065932399</v>
      </c>
      <c r="CH9" s="723">
        <f>CG9/CD9-1</f>
        <v>8.4350567426603851E-2</v>
      </c>
      <c r="CI9" s="825">
        <f t="shared" si="63"/>
        <v>1.5920999404767771</v>
      </c>
      <c r="CJ9" s="723">
        <f t="shared" ref="CJ9:CJ11" si="74">(CI9+1)^(1/(2022-2004))-1</f>
        <v>5.4339924883815671E-2</v>
      </c>
      <c r="CN9" s="274">
        <v>4</v>
      </c>
      <c r="CO9" s="275" t="s">
        <v>71</v>
      </c>
      <c r="CP9" s="276">
        <f t="shared" ref="CP9:CW9" si="75">SUM(CP6:CP8)</f>
        <v>1754646.0788748774</v>
      </c>
      <c r="CQ9" s="277">
        <f t="shared" si="75"/>
        <v>32674880.229199998</v>
      </c>
      <c r="CR9" s="277">
        <f t="shared" si="75"/>
        <v>5326417.5981999999</v>
      </c>
      <c r="CS9" s="278">
        <f t="shared" si="75"/>
        <v>38001297.827399999</v>
      </c>
      <c r="CT9" s="276">
        <f t="shared" si="75"/>
        <v>1762701.0470566959</v>
      </c>
      <c r="CU9" s="277">
        <f t="shared" si="75"/>
        <v>32842218.314654544</v>
      </c>
      <c r="CV9" s="277">
        <f t="shared" si="75"/>
        <v>3970981.5330281532</v>
      </c>
      <c r="CW9" s="277">
        <f t="shared" si="75"/>
        <v>36813199.8476827</v>
      </c>
      <c r="CY9" s="20"/>
      <c r="DA9" s="274">
        <v>4</v>
      </c>
      <c r="DB9" s="275" t="s">
        <v>71</v>
      </c>
      <c r="DC9" s="279">
        <f>SUM(DC6:DC8)</f>
        <v>86327.441190476195</v>
      </c>
      <c r="DD9" s="868">
        <f>SUM(DD6:DD8)</f>
        <v>1804966.5518499999</v>
      </c>
      <c r="DE9" s="279">
        <f>SUM(DE6:DE8)</f>
        <v>86370.623008658004</v>
      </c>
      <c r="DF9" s="869">
        <f>SUM(DF6:DF8)</f>
        <v>1805841.8473045453</v>
      </c>
      <c r="DG9" s="869">
        <f>SUM(DG6:DG8)</f>
        <v>1805841.8473045453</v>
      </c>
      <c r="DI9" s="20"/>
      <c r="DK9" s="274">
        <v>4</v>
      </c>
      <c r="DL9" s="275" t="s">
        <v>71</v>
      </c>
      <c r="DM9" s="279">
        <f>SUM(DM6:DM8)</f>
        <v>567379.8664464287</v>
      </c>
      <c r="DN9" s="280">
        <f>SUM(DN6:DN8)</f>
        <v>16523554.25475</v>
      </c>
      <c r="DO9" s="279">
        <f>SUM(DO6:DO8)</f>
        <v>570064.6364464286</v>
      </c>
      <c r="DP9" s="281">
        <f>SUM(DP6:DP8)</f>
        <v>17962433.615376391</v>
      </c>
      <c r="DT9" s="222">
        <v>4</v>
      </c>
      <c r="DU9" s="733" t="s">
        <v>189</v>
      </c>
      <c r="DV9" s="650">
        <v>745102.29810000001</v>
      </c>
      <c r="DW9" s="650">
        <v>846858.39999999991</v>
      </c>
      <c r="DX9" s="650">
        <v>1366842.7921999996</v>
      </c>
      <c r="DY9" s="650">
        <v>2958803.4902999997</v>
      </c>
      <c r="DZ9" s="792"/>
      <c r="EA9" s="650"/>
      <c r="EB9" s="650"/>
      <c r="EC9" s="650"/>
      <c r="EG9" s="282">
        <v>4</v>
      </c>
      <c r="EH9" s="283" t="s">
        <v>71</v>
      </c>
      <c r="EI9" s="284">
        <f t="shared" ref="EI9:EO9" si="76">SUM(EI6:EI8)</f>
        <v>451090.18599999999</v>
      </c>
      <c r="EJ9" s="284">
        <f t="shared" si="76"/>
        <v>1817830.5189999999</v>
      </c>
      <c r="EK9" s="284">
        <f t="shared" si="76"/>
        <v>3631481.501164</v>
      </c>
      <c r="EL9" s="285">
        <f t="shared" si="76"/>
        <v>5900402.2061640006</v>
      </c>
      <c r="EM9" s="284">
        <f t="shared" si="76"/>
        <v>449815.8674539472</v>
      </c>
      <c r="EN9" s="284">
        <f t="shared" si="76"/>
        <v>1817830.5189999999</v>
      </c>
      <c r="EO9" s="284">
        <f t="shared" si="76"/>
        <v>3675012.1308598211</v>
      </c>
      <c r="EP9" s="284">
        <f>SUM(EP6:EP8)</f>
        <v>5942658.5173137691</v>
      </c>
      <c r="EQ9" s="16"/>
      <c r="ER9" s="266"/>
      <c r="ET9" s="282">
        <v>4</v>
      </c>
      <c r="EU9" s="283" t="s">
        <v>71</v>
      </c>
      <c r="EV9" s="284">
        <f t="shared" ref="EV9:FC9" si="77">SUM(EV6:EV8)</f>
        <v>1227455.1140000001</v>
      </c>
      <c r="EW9" s="284">
        <f t="shared" si="77"/>
        <v>1152595.8190000001</v>
      </c>
      <c r="EX9" s="284">
        <f t="shared" si="77"/>
        <v>1416596.2439999999</v>
      </c>
      <c r="EY9" s="285">
        <f t="shared" si="77"/>
        <v>3796647.1770000006</v>
      </c>
      <c r="EZ9" s="284">
        <f t="shared" si="77"/>
        <v>1164701.1920819106</v>
      </c>
      <c r="FA9" s="284">
        <f t="shared" si="77"/>
        <v>1091059.0536166667</v>
      </c>
      <c r="FB9" s="284">
        <f t="shared" si="77"/>
        <v>1366659.5182101913</v>
      </c>
      <c r="FC9" s="285">
        <f t="shared" si="77"/>
        <v>3622419.763908769</v>
      </c>
      <c r="FD9" s="284">
        <v>2645836.9796721428</v>
      </c>
      <c r="FE9" s="284">
        <v>976583.26027482667</v>
      </c>
      <c r="FF9" s="284">
        <f t="shared" si="20"/>
        <v>3622420.2399469693</v>
      </c>
      <c r="FG9" s="16"/>
      <c r="FH9" s="266"/>
      <c r="FJ9" s="222">
        <f t="shared" ref="FJ9:FJ36" si="78">FJ8+1</f>
        <v>4</v>
      </c>
      <c r="FK9" s="242"/>
      <c r="FL9" s="877" t="s">
        <v>190</v>
      </c>
      <c r="FM9" s="650">
        <v>187053.99349999998</v>
      </c>
      <c r="FN9" s="650">
        <v>201367.96999999997</v>
      </c>
      <c r="FO9" s="650">
        <v>211381.89823999998</v>
      </c>
      <c r="FP9" s="794">
        <f t="shared" si="21"/>
        <v>599803.86173999996</v>
      </c>
      <c r="FQ9" s="650">
        <v>187102.71895454542</v>
      </c>
      <c r="FR9" s="650">
        <v>201367.96999999997</v>
      </c>
      <c r="FS9" s="650">
        <v>211768.89823999998</v>
      </c>
      <c r="FT9" s="650">
        <v>600239.58719454543</v>
      </c>
      <c r="FU9" s="955">
        <v>600239.58719454543</v>
      </c>
      <c r="FV9" s="16"/>
      <c r="FW9" s="266"/>
      <c r="FY9" s="222">
        <v>4</v>
      </c>
      <c r="FZ9" s="969" t="s">
        <v>191</v>
      </c>
      <c r="GA9" s="650">
        <v>0</v>
      </c>
      <c r="GB9" s="650">
        <v>144.44999999999999</v>
      </c>
      <c r="GC9" s="650">
        <v>0</v>
      </c>
      <c r="GD9" s="794">
        <f t="shared" si="1"/>
        <v>144.44999999999999</v>
      </c>
      <c r="GE9" s="650">
        <v>0</v>
      </c>
      <c r="GF9" s="650">
        <v>144.44999999999999</v>
      </c>
      <c r="GG9" s="650">
        <v>0</v>
      </c>
      <c r="GH9" s="650">
        <f>SUM(GE9:GG9)</f>
        <v>144.44999999999999</v>
      </c>
      <c r="GI9" s="202"/>
      <c r="GJ9" s="203"/>
      <c r="GL9" s="286">
        <v>4</v>
      </c>
      <c r="GM9" s="885" t="s">
        <v>192</v>
      </c>
      <c r="GN9" s="885">
        <f>GN7-GN8</f>
        <v>17336653.61379452</v>
      </c>
      <c r="GO9" s="885">
        <f>GO7-GO8</f>
        <v>36228582.601999998</v>
      </c>
      <c r="GP9" s="885">
        <f>GP7-GP8</f>
        <v>57810304.313600004</v>
      </c>
      <c r="GQ9" s="885">
        <f>SUM(GN9:GP9)</f>
        <v>111375540.52939452</v>
      </c>
      <c r="GR9" s="885">
        <f>GR7-GR8</f>
        <v>15104029.58157273</v>
      </c>
      <c r="GS9" s="885">
        <f>GS7-GS8</f>
        <v>34464321.422000006</v>
      </c>
      <c r="GT9" s="885">
        <f>GT7-GT8</f>
        <v>56786467.263899982</v>
      </c>
      <c r="GU9" s="885">
        <f>SUM(GR9:GT9)</f>
        <v>106354818.26747271</v>
      </c>
      <c r="GZ9" s="222">
        <v>4</v>
      </c>
      <c r="HA9" s="663">
        <v>4</v>
      </c>
      <c r="HB9" s="663">
        <v>10</v>
      </c>
      <c r="HC9" s="663">
        <v>11</v>
      </c>
      <c r="HD9" s="682">
        <v>24610749</v>
      </c>
      <c r="HE9" s="682">
        <v>27099362</v>
      </c>
      <c r="HF9" s="724">
        <f t="shared" si="22"/>
        <v>1.1000000000000001</v>
      </c>
      <c r="HG9" s="724">
        <f t="shared" si="23"/>
        <v>1.1011189460345152</v>
      </c>
      <c r="HH9" s="723">
        <v>1</v>
      </c>
      <c r="HI9" s="723">
        <v>0</v>
      </c>
      <c r="HJ9" s="723">
        <v>0</v>
      </c>
      <c r="HN9" s="243">
        <v>4</v>
      </c>
      <c r="HO9" s="891">
        <v>4</v>
      </c>
      <c r="HP9" s="793">
        <f t="shared" si="2"/>
        <v>1.1011189460345152</v>
      </c>
      <c r="HQ9" s="650">
        <v>14661</v>
      </c>
      <c r="HR9" s="794">
        <f t="shared" si="24"/>
        <v>16143.504867812027</v>
      </c>
      <c r="HS9" s="650">
        <v>2674997</v>
      </c>
      <c r="HT9" s="975">
        <v>2941415</v>
      </c>
      <c r="HU9" s="650">
        <v>1284924.1558000001</v>
      </c>
      <c r="HV9" s="975">
        <v>1463576</v>
      </c>
      <c r="HW9" s="650">
        <v>225000</v>
      </c>
      <c r="HX9" s="955">
        <v>247500</v>
      </c>
      <c r="HY9" s="650">
        <f t="shared" si="25"/>
        <v>1524585.1558000001</v>
      </c>
      <c r="HZ9" s="650">
        <f t="shared" si="25"/>
        <v>1727219.5048678119</v>
      </c>
      <c r="IA9" s="206"/>
      <c r="IB9" s="207"/>
      <c r="IC9" s="206"/>
      <c r="ID9" s="244">
        <v>4</v>
      </c>
      <c r="IE9" s="891">
        <v>4</v>
      </c>
      <c r="IF9" s="899">
        <f t="shared" si="3"/>
        <v>1.1000000000000001</v>
      </c>
      <c r="IG9" s="900">
        <f t="shared" si="3"/>
        <v>1.1011189460345152</v>
      </c>
      <c r="IH9" s="955">
        <v>488079.30426010059</v>
      </c>
      <c r="II9" s="794">
        <f t="shared" si="64"/>
        <v>537433.36908814148</v>
      </c>
      <c r="IJ9" s="955">
        <v>49144.689999999995</v>
      </c>
      <c r="IK9" s="794">
        <f t="shared" si="26"/>
        <v>54114.149255992976</v>
      </c>
      <c r="IL9" s="955">
        <v>266927.91573989944</v>
      </c>
      <c r="IM9" s="794">
        <f>IL9*IF9</f>
        <v>293620.7073138894</v>
      </c>
      <c r="IN9" s="955">
        <v>446411.14275394066</v>
      </c>
      <c r="IO9" s="995">
        <v>464523.93858632422</v>
      </c>
      <c r="IP9" s="955">
        <v>36638.874999999985</v>
      </c>
      <c r="IQ9" s="794">
        <f t="shared" si="27"/>
        <v>40343.759423890333</v>
      </c>
      <c r="IR9" s="955">
        <v>45956.791999999987</v>
      </c>
      <c r="IS9" s="794">
        <f t="shared" si="28"/>
        <v>50603.894370167429</v>
      </c>
      <c r="IT9" s="955">
        <v>54174.032000000007</v>
      </c>
      <c r="IU9" s="794">
        <f t="shared" si="29"/>
        <v>59652.053018280109</v>
      </c>
      <c r="IV9" s="955">
        <v>148516.94685000001</v>
      </c>
      <c r="IW9" s="794">
        <f t="shared" si="30"/>
        <v>163534.82398373613</v>
      </c>
      <c r="IX9" s="650">
        <f t="shared" si="31"/>
        <v>1535849.6986039407</v>
      </c>
      <c r="IY9" s="650">
        <f t="shared" si="31"/>
        <v>1663826.6950404223</v>
      </c>
      <c r="IZ9" s="683">
        <f t="shared" si="4"/>
        <v>6.1397264446315098</v>
      </c>
      <c r="JD9" s="222">
        <v>4</v>
      </c>
      <c r="JE9" s="663">
        <v>4</v>
      </c>
      <c r="JF9" s="660">
        <f t="shared" si="5"/>
        <v>11</v>
      </c>
      <c r="JG9" s="660">
        <f t="shared" si="32"/>
        <v>11</v>
      </c>
      <c r="JH9" s="905">
        <f t="shared" si="6"/>
        <v>27099362</v>
      </c>
      <c r="JI9" s="905">
        <f>JH9*$JK$26</f>
        <v>26988962.991702184</v>
      </c>
      <c r="JJ9" s="906">
        <f t="shared" si="33"/>
        <v>1</v>
      </c>
      <c r="JK9" s="906">
        <f t="shared" si="34"/>
        <v>0.99592613994758195</v>
      </c>
      <c r="JL9" s="906">
        <f t="shared" si="35"/>
        <v>1.0329178997421762</v>
      </c>
      <c r="JM9" s="663" t="s">
        <v>424</v>
      </c>
      <c r="JN9" s="209"/>
      <c r="JO9" s="210"/>
      <c r="JP9" s="209"/>
      <c r="JQ9" s="222">
        <v>4</v>
      </c>
      <c r="JR9" s="663">
        <v>4</v>
      </c>
      <c r="JS9" s="914" t="str">
        <f t="shared" si="7"/>
        <v>Q4</v>
      </c>
      <c r="JT9" s="913">
        <f t="shared" si="8"/>
        <v>1.0329178997421762</v>
      </c>
      <c r="JU9" s="671">
        <f t="shared" si="36"/>
        <v>16143.504867812027</v>
      </c>
      <c r="JV9" s="671">
        <f t="shared" si="37"/>
        <v>16674.915142537997</v>
      </c>
      <c r="JW9" s="671">
        <f t="shared" si="9"/>
        <v>2941415</v>
      </c>
      <c r="JX9" s="671">
        <f t="shared" si="38"/>
        <v>2977722.1402113261</v>
      </c>
      <c r="JY9" s="671">
        <f t="shared" si="10"/>
        <v>1463576</v>
      </c>
      <c r="JZ9" s="671">
        <f t="shared" si="11"/>
        <v>1337050.2038460053</v>
      </c>
      <c r="KA9" s="671">
        <f t="shared" si="39"/>
        <v>247500</v>
      </c>
      <c r="KB9" s="671">
        <f t="shared" si="40"/>
        <v>58663.134626388877</v>
      </c>
      <c r="KC9" s="671">
        <f t="shared" si="41"/>
        <v>1727219.5048678119</v>
      </c>
      <c r="KD9" s="671">
        <f t="shared" si="41"/>
        <v>1412388.2536149321</v>
      </c>
      <c r="KE9" s="211"/>
      <c r="KF9" s="210"/>
      <c r="KG9" s="209"/>
      <c r="KH9" s="245">
        <f t="shared" si="65"/>
        <v>4</v>
      </c>
      <c r="KI9" s="917">
        <v>3</v>
      </c>
      <c r="KJ9" s="918">
        <f t="shared" si="66"/>
        <v>0.91666666666666663</v>
      </c>
      <c r="KK9" s="918">
        <f t="shared" si="66"/>
        <v>0.99592613994758195</v>
      </c>
      <c r="KL9" s="898">
        <v>1.6546666699999999</v>
      </c>
      <c r="KM9" s="801">
        <f t="shared" si="67"/>
        <v>955443.96020850155</v>
      </c>
      <c r="KN9" s="898">
        <v>1.6546666699999999</v>
      </c>
      <c r="KO9" s="801">
        <f t="shared" si="42"/>
        <v>53071.244954318165</v>
      </c>
      <c r="KP9" s="898">
        <v>1.6546666699999999</v>
      </c>
      <c r="KQ9" s="801">
        <f t="shared" si="43"/>
        <v>393658.57324517204</v>
      </c>
      <c r="KR9" s="898">
        <v>1.6546666699999999</v>
      </c>
      <c r="KS9" s="801">
        <f t="shared" si="68"/>
        <v>539269.90087968996</v>
      </c>
      <c r="KT9" s="898">
        <v>1.6546666699999999</v>
      </c>
      <c r="KU9" s="801">
        <f t="shared" si="44"/>
        <v>98884.950131029225</v>
      </c>
      <c r="KV9" s="898">
        <v>1.6546666699999999</v>
      </c>
      <c r="KW9" s="801">
        <f t="shared" si="45"/>
        <v>87323.057006595162</v>
      </c>
      <c r="KX9" s="898">
        <v>1.6546666699999999</v>
      </c>
      <c r="KY9" s="801">
        <f t="shared" si="46"/>
        <v>14048.551514473171</v>
      </c>
      <c r="KZ9" s="898">
        <v>1.6546666699999999</v>
      </c>
      <c r="LA9" s="919">
        <f t="shared" si="47"/>
        <v>285357.59197278781</v>
      </c>
      <c r="LB9" s="646">
        <f t="shared" si="48"/>
        <v>2432330.3221154893</v>
      </c>
      <c r="LC9" s="646">
        <f t="shared" ref="LC9:LC26" si="79">KM9+KO9+KQ9+KS9+KU9+KY9+LA9+KW9</f>
        <v>2427057.829912567</v>
      </c>
      <c r="LD9" s="16"/>
      <c r="LE9" s="220"/>
      <c r="LG9" s="222">
        <v>4</v>
      </c>
      <c r="LH9" s="922">
        <v>4</v>
      </c>
      <c r="LI9" s="650">
        <f t="shared" si="12"/>
        <v>1524585.1558000001</v>
      </c>
      <c r="LJ9" s="650">
        <f t="shared" si="12"/>
        <v>1727219.5048678119</v>
      </c>
      <c r="LK9" s="794">
        <f t="shared" si="13"/>
        <v>1412388.2536149321</v>
      </c>
      <c r="LL9" s="650">
        <f t="shared" si="14"/>
        <v>1535849.6986039407</v>
      </c>
      <c r="LM9" s="650">
        <f t="shared" si="14"/>
        <v>1663826.6950404223</v>
      </c>
      <c r="LN9" s="794">
        <f t="shared" si="49"/>
        <v>1718596.375376119</v>
      </c>
      <c r="LO9" s="650">
        <f t="shared" si="50"/>
        <v>-11264.542803940596</v>
      </c>
      <c r="LP9" s="650">
        <f t="shared" si="50"/>
        <v>63392.809827389661</v>
      </c>
      <c r="LQ9" s="650">
        <f t="shared" si="50"/>
        <v>-306208.12176118698</v>
      </c>
      <c r="LU9" s="222">
        <f t="shared" si="69"/>
        <v>4</v>
      </c>
      <c r="LV9" s="812" t="s">
        <v>193</v>
      </c>
      <c r="LW9" s="650">
        <f>LW7+LW8</f>
        <v>350703564.37938458</v>
      </c>
      <c r="MA9" s="192">
        <f t="shared" ref="MA9:MA24" si="80">MA8+1</f>
        <v>3</v>
      </c>
      <c r="MB9" s="814" t="s">
        <v>194</v>
      </c>
      <c r="MC9" s="860">
        <f>N9</f>
        <v>108252859.04292728</v>
      </c>
      <c r="MD9" s="928">
        <f t="shared" si="51"/>
        <v>4.9540629043697759</v>
      </c>
      <c r="ME9" s="796"/>
      <c r="MF9" s="798">
        <f>MC30</f>
        <v>124511078.31409155</v>
      </c>
      <c r="MG9" s="928">
        <f t="shared" si="52"/>
        <v>5.6981009066404162</v>
      </c>
      <c r="MK9" s="192">
        <f t="shared" ref="MK9:MK24" si="81">MK8+1</f>
        <v>3</v>
      </c>
      <c r="ML9" s="814" t="str">
        <f t="shared" si="53"/>
        <v>Base Handling Commissions (HC)</v>
      </c>
      <c r="MM9" s="979">
        <v>131674066.73842122</v>
      </c>
      <c r="MN9" s="860">
        <f>MC9</f>
        <v>108252859.04292728</v>
      </c>
      <c r="MO9" s="860">
        <f t="shared" si="70"/>
        <v>-23421207.695493937</v>
      </c>
      <c r="MP9" s="830">
        <f t="shared" si="71"/>
        <v>-0.17787259310538067</v>
      </c>
    </row>
    <row r="10" spans="1:405" s="29" customFormat="1" ht="16.5" x14ac:dyDescent="0.3">
      <c r="B10" s="181">
        <f t="shared" si="72"/>
        <v>5</v>
      </c>
      <c r="C10" s="795"/>
      <c r="D10" s="796" t="s">
        <v>195</v>
      </c>
      <c r="E10" s="797"/>
      <c r="F10" s="798">
        <f>GD12</f>
        <v>1116505.0026</v>
      </c>
      <c r="G10" s="799">
        <f t="shared" si="15"/>
        <v>5.3663312193258469E-2</v>
      </c>
      <c r="H10" s="798">
        <f>GH12</f>
        <v>314630.85259999998</v>
      </c>
      <c r="I10" s="800">
        <f t="shared" si="16"/>
        <v>1.504309160679523E-2</v>
      </c>
      <c r="J10" s="801">
        <f t="shared" si="54"/>
        <v>-801874.15</v>
      </c>
      <c r="K10" s="798">
        <f>HR26</f>
        <v>323903.59259512648</v>
      </c>
      <c r="L10" s="800">
        <f t="shared" si="17"/>
        <v>1.4762674288716604E-2</v>
      </c>
      <c r="M10" s="801">
        <f t="shared" si="55"/>
        <v>9272.7399951264961</v>
      </c>
      <c r="N10" s="798">
        <f>JV26</f>
        <v>334591.19444007974</v>
      </c>
      <c r="O10" s="800">
        <f t="shared" si="18"/>
        <v>1.5312166710045637E-2</v>
      </c>
      <c r="P10" s="801">
        <f t="shared" si="56"/>
        <v>10687.601844953257</v>
      </c>
      <c r="Q10" s="798">
        <f t="shared" si="57"/>
        <v>-781913.80815992027</v>
      </c>
      <c r="R10" s="802">
        <f t="shared" si="58"/>
        <v>-0.71466228817741051</v>
      </c>
      <c r="S10" s="12"/>
      <c r="T10" s="13"/>
      <c r="U10" s="12"/>
      <c r="V10" s="165">
        <f>V8+1</f>
        <v>3</v>
      </c>
      <c r="W10" s="805" t="s">
        <v>172</v>
      </c>
      <c r="X10" s="955">
        <v>-2556595.7831702125</v>
      </c>
      <c r="Y10" s="955">
        <v>1170566.5451474434</v>
      </c>
      <c r="Z10" s="955">
        <v>6455212.4211677872</v>
      </c>
      <c r="AA10" s="1001">
        <f>SUM(X10:Z10)</f>
        <v>5069183.1831450183</v>
      </c>
      <c r="AB10" s="18" t="s">
        <v>431</v>
      </c>
      <c r="AC10" s="12"/>
      <c r="AD10" s="13"/>
      <c r="AE10" s="12"/>
      <c r="AF10" s="252">
        <f t="shared" si="73"/>
        <v>4</v>
      </c>
      <c r="AG10" s="191" t="s">
        <v>24</v>
      </c>
      <c r="AK10" s="12"/>
      <c r="AL10" s="13"/>
      <c r="AM10" s="12"/>
      <c r="AN10" s="192">
        <v>5</v>
      </c>
      <c r="AO10" s="254"/>
      <c r="AQ10" s="796" t="s">
        <v>195</v>
      </c>
      <c r="AR10" s="797"/>
      <c r="AS10" s="827">
        <v>351000.77</v>
      </c>
      <c r="AT10" s="828">
        <v>3.4227935612112924E-2</v>
      </c>
      <c r="AU10" s="829"/>
      <c r="AV10" s="827">
        <v>392967.44999999995</v>
      </c>
      <c r="AW10" s="828">
        <v>3.6413574986312203E-2</v>
      </c>
      <c r="AX10" s="830">
        <f>AW10/AT10-1</f>
        <v>6.3855424965384211E-2</v>
      </c>
      <c r="AY10" s="829"/>
      <c r="AZ10" s="827">
        <v>419971.50999999995</v>
      </c>
      <c r="BA10" s="828">
        <v>3.2552478729062043E-2</v>
      </c>
      <c r="BB10" s="830">
        <f>BA10/AW10-1</f>
        <v>-0.10603452857077444</v>
      </c>
      <c r="BC10" s="829"/>
      <c r="BD10" s="827">
        <v>465783.3236</v>
      </c>
      <c r="BE10" s="828">
        <v>3.1672779070028398E-2</v>
      </c>
      <c r="BF10" s="830">
        <f>BE10/BA10-1</f>
        <v>-2.7024045276413E-2</v>
      </c>
      <c r="BG10" s="829"/>
      <c r="BH10" s="827">
        <v>1360261.3124000002</v>
      </c>
      <c r="BI10" s="828">
        <v>8.9511992892331985E-2</v>
      </c>
      <c r="BJ10" s="830">
        <f>BI10/BE10-1</f>
        <v>1.8261489998847686</v>
      </c>
      <c r="BK10" s="829"/>
      <c r="BL10" s="827">
        <v>1390376.9787000001</v>
      </c>
      <c r="BM10" s="828">
        <v>8.2655695684016636E-2</v>
      </c>
      <c r="BN10" s="830">
        <f>BM10/BI10-1</f>
        <v>-7.6596408891960732E-2</v>
      </c>
      <c r="BO10" s="829"/>
      <c r="BP10" s="827">
        <v>770218.05</v>
      </c>
      <c r="BQ10" s="828">
        <v>4.1525871275282955E-2</v>
      </c>
      <c r="BR10" s="830">
        <f>BQ10/BM10-1</f>
        <v>-0.49760423729259196</v>
      </c>
      <c r="BS10" s="829"/>
      <c r="BT10" s="796">
        <v>1472526.2590000001</v>
      </c>
      <c r="BU10" s="796">
        <v>7.5050191908761346E-2</v>
      </c>
      <c r="BV10" s="796">
        <f>BU10/BQ10-1</f>
        <v>0.8073116735164747</v>
      </c>
      <c r="BW10" s="258">
        <v>11886052.370000001</v>
      </c>
      <c r="BX10" s="259">
        <v>0.6140398725184244</v>
      </c>
      <c r="BY10" s="831">
        <f t="shared" si="60"/>
        <v>7.1817228830662252</v>
      </c>
      <c r="BZ10" s="831">
        <v>6021594.1700000009</v>
      </c>
      <c r="CA10" s="831">
        <v>0.29519107155012259</v>
      </c>
      <c r="CB10" s="831">
        <f t="shared" si="61"/>
        <v>-0.51926400098510661</v>
      </c>
      <c r="CC10" s="956">
        <v>2435490.3939</v>
      </c>
      <c r="CD10" s="956">
        <v>0.11718165526042415</v>
      </c>
      <c r="CE10" s="802">
        <f t="shared" si="62"/>
        <v>-0.60303116674541068</v>
      </c>
      <c r="CF10" s="798">
        <f t="shared" si="19"/>
        <v>1116505.0026</v>
      </c>
      <c r="CG10" s="831">
        <f t="shared" si="19"/>
        <v>5.3663312193258469E-2</v>
      </c>
      <c r="CH10" s="802">
        <f>CG10/CD10-1</f>
        <v>-0.54205022898851118</v>
      </c>
      <c r="CI10" s="832">
        <f t="shared" si="63"/>
        <v>2.1809189552490156</v>
      </c>
      <c r="CJ10" s="802">
        <f t="shared" si="74"/>
        <v>6.6398656147326873E-2</v>
      </c>
      <c r="CK10" s="12"/>
      <c r="CL10" s="13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20"/>
      <c r="CZ10" s="12"/>
      <c r="DA10" s="287"/>
      <c r="DB10" s="288"/>
      <c r="DC10" s="289"/>
      <c r="DD10" s="12"/>
      <c r="DE10" s="289"/>
      <c r="DF10" s="12"/>
      <c r="DG10" s="12"/>
      <c r="DH10" s="12"/>
      <c r="DI10" s="20"/>
      <c r="DJ10" s="12"/>
      <c r="DK10" s="12"/>
      <c r="DL10" s="12"/>
      <c r="DM10" s="12"/>
      <c r="DN10" s="12"/>
      <c r="DO10" s="12"/>
      <c r="DP10" s="12"/>
      <c r="DQ10" s="12"/>
      <c r="DR10" s="13"/>
      <c r="DS10" s="12"/>
      <c r="DT10" s="192">
        <v>5</v>
      </c>
      <c r="DU10" s="874" t="s">
        <v>196</v>
      </c>
      <c r="DV10" s="860"/>
      <c r="DW10" s="860"/>
      <c r="DX10" s="860"/>
      <c r="DY10" s="860"/>
      <c r="DZ10" s="954">
        <v>3188331.9858326707</v>
      </c>
      <c r="EA10" s="955">
        <v>5333427.9915022952</v>
      </c>
      <c r="EB10" s="955">
        <v>7194319.2214661567</v>
      </c>
      <c r="EC10" s="955">
        <v>15716079.198801123</v>
      </c>
      <c r="ED10" s="12"/>
      <c r="EE10" s="13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6"/>
      <c r="ER10" s="266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951" t="s">
        <v>197</v>
      </c>
      <c r="FF10" s="12"/>
      <c r="FG10" s="16"/>
      <c r="FH10" s="266"/>
      <c r="FI10" s="12"/>
      <c r="FJ10" s="192">
        <f t="shared" si="78"/>
        <v>5</v>
      </c>
      <c r="FK10" s="265"/>
      <c r="FL10" s="878" t="s">
        <v>198</v>
      </c>
      <c r="FM10" s="860">
        <v>27043.4</v>
      </c>
      <c r="FN10" s="860">
        <v>143518.97</v>
      </c>
      <c r="FO10" s="860">
        <v>26153.77</v>
      </c>
      <c r="FP10" s="801">
        <f t="shared" si="21"/>
        <v>196716.14</v>
      </c>
      <c r="FQ10" s="860">
        <v>0</v>
      </c>
      <c r="FR10" s="860">
        <v>0</v>
      </c>
      <c r="FS10" s="860">
        <v>0</v>
      </c>
      <c r="FT10" s="860">
        <v>0</v>
      </c>
      <c r="FU10" s="955">
        <v>0</v>
      </c>
      <c r="FV10" s="16"/>
      <c r="FW10" s="266"/>
      <c r="FX10" s="12"/>
      <c r="FY10" s="192">
        <v>5</v>
      </c>
      <c r="FZ10" s="969" t="s">
        <v>199</v>
      </c>
      <c r="GA10" s="860">
        <v>2264.3409999999999</v>
      </c>
      <c r="GB10" s="860">
        <v>71321</v>
      </c>
      <c r="GC10" s="860">
        <v>90199.61</v>
      </c>
      <c r="GD10" s="801">
        <f t="shared" si="1"/>
        <v>163784.951</v>
      </c>
      <c r="GE10" s="860">
        <v>2264.3409999999994</v>
      </c>
      <c r="GF10" s="860">
        <v>71321</v>
      </c>
      <c r="GG10" s="860">
        <v>90199.61</v>
      </c>
      <c r="GH10" s="860">
        <f>SUM(GE10:GG10)</f>
        <v>163784.951</v>
      </c>
      <c r="GI10" s="202"/>
      <c r="GJ10" s="203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204"/>
      <c r="GW10" s="290"/>
      <c r="GX10" s="12"/>
      <c r="GY10" s="12"/>
      <c r="GZ10" s="192">
        <v>5</v>
      </c>
      <c r="HA10" s="886">
        <v>5</v>
      </c>
      <c r="HB10" s="886">
        <v>10</v>
      </c>
      <c r="HC10" s="886">
        <v>10</v>
      </c>
      <c r="HD10" s="887">
        <v>27582468</v>
      </c>
      <c r="HE10" s="887">
        <v>27845108</v>
      </c>
      <c r="HF10" s="800">
        <f t="shared" si="22"/>
        <v>1</v>
      </c>
      <c r="HG10" s="800">
        <f t="shared" si="23"/>
        <v>1.0095219905629909</v>
      </c>
      <c r="HH10" s="802">
        <v>1</v>
      </c>
      <c r="HI10" s="802">
        <v>0</v>
      </c>
      <c r="HJ10" s="802">
        <v>0</v>
      </c>
      <c r="HK10" s="12"/>
      <c r="HL10" s="13"/>
      <c r="HM10" s="12"/>
      <c r="HN10" s="267">
        <v>5</v>
      </c>
      <c r="HO10" s="892">
        <v>5</v>
      </c>
      <c r="HP10" s="799">
        <f t="shared" si="2"/>
        <v>1.0095219905629909</v>
      </c>
      <c r="HQ10" s="860">
        <v>18003.84</v>
      </c>
      <c r="HR10" s="801">
        <f t="shared" si="24"/>
        <v>18175.272394577598</v>
      </c>
      <c r="HS10" s="860">
        <v>2986640</v>
      </c>
      <c r="HT10" s="975">
        <v>3015599</v>
      </c>
      <c r="HU10" s="860">
        <v>1473505.2203000002</v>
      </c>
      <c r="HV10" s="975">
        <v>1517912</v>
      </c>
      <c r="HW10" s="860">
        <v>225000</v>
      </c>
      <c r="HX10" s="955">
        <v>225000</v>
      </c>
      <c r="HY10" s="860">
        <f t="shared" si="25"/>
        <v>1716509.0603000002</v>
      </c>
      <c r="HZ10" s="860">
        <f t="shared" si="25"/>
        <v>1761087.2723945775</v>
      </c>
      <c r="IA10" s="206"/>
      <c r="IB10" s="207"/>
      <c r="IC10" s="206"/>
      <c r="ID10" s="208">
        <v>5</v>
      </c>
      <c r="IE10" s="892">
        <v>5</v>
      </c>
      <c r="IF10" s="896">
        <f t="shared" si="3"/>
        <v>1</v>
      </c>
      <c r="IG10" s="897">
        <f t="shared" si="3"/>
        <v>1.0095219905629909</v>
      </c>
      <c r="IH10" s="955">
        <v>355051.0988864348</v>
      </c>
      <c r="II10" s="801">
        <f t="shared" si="64"/>
        <v>358431.89209941099</v>
      </c>
      <c r="IJ10" s="955">
        <v>26799.5</v>
      </c>
      <c r="IK10" s="801">
        <f t="shared" si="26"/>
        <v>27054.684586092873</v>
      </c>
      <c r="IL10" s="955">
        <v>435175.40111356514</v>
      </c>
      <c r="IM10" s="801">
        <f t="shared" ref="IM10:IM25" si="82">IL10*IF10</f>
        <v>435175.40111356514</v>
      </c>
      <c r="IN10" s="955">
        <v>413268.48496479425</v>
      </c>
      <c r="IO10" s="995">
        <v>413268.48496479425</v>
      </c>
      <c r="IP10" s="955">
        <v>91183.847999999984</v>
      </c>
      <c r="IQ10" s="801">
        <f t="shared" si="27"/>
        <v>92052.099740153179</v>
      </c>
      <c r="IR10" s="955">
        <v>53589.08</v>
      </c>
      <c r="IS10" s="801">
        <f t="shared" si="28"/>
        <v>54099.354714039364</v>
      </c>
      <c r="IT10" s="955">
        <v>37897.01</v>
      </c>
      <c r="IU10" s="801">
        <f t="shared" si="29"/>
        <v>38257.864971585572</v>
      </c>
      <c r="IV10" s="955">
        <v>219214.09419999996</v>
      </c>
      <c r="IW10" s="801">
        <f t="shared" si="30"/>
        <v>221301.44873624694</v>
      </c>
      <c r="IX10" s="860">
        <f t="shared" si="31"/>
        <v>1632178.5171647943</v>
      </c>
      <c r="IY10" s="860">
        <f t="shared" si="31"/>
        <v>1639641.2309258883</v>
      </c>
      <c r="IZ10" s="898">
        <f t="shared" si="4"/>
        <v>5.8884355231299095</v>
      </c>
      <c r="JA10" s="12"/>
      <c r="JB10" s="13"/>
      <c r="JC10" s="12"/>
      <c r="JD10" s="192">
        <v>5</v>
      </c>
      <c r="JE10" s="886">
        <v>5</v>
      </c>
      <c r="JF10" s="796">
        <f t="shared" si="5"/>
        <v>10</v>
      </c>
      <c r="JG10" s="796">
        <f t="shared" si="32"/>
        <v>10</v>
      </c>
      <c r="JH10" s="859">
        <f t="shared" si="6"/>
        <v>27845108</v>
      </c>
      <c r="JI10" s="859">
        <f t="shared" ref="JI10:JI25" si="83">JH10*$JK$26</f>
        <v>27731670.926863533</v>
      </c>
      <c r="JJ10" s="904">
        <f t="shared" si="33"/>
        <v>1</v>
      </c>
      <c r="JK10" s="904">
        <f t="shared" si="34"/>
        <v>0.99592613994758195</v>
      </c>
      <c r="JL10" s="904">
        <f t="shared" si="35"/>
        <v>1.0331785036787859</v>
      </c>
      <c r="JM10" s="886" t="s">
        <v>424</v>
      </c>
      <c r="JN10" s="209"/>
      <c r="JO10" s="210"/>
      <c r="JP10" s="209"/>
      <c r="JQ10" s="192">
        <v>5</v>
      </c>
      <c r="JR10" s="886">
        <v>5</v>
      </c>
      <c r="JS10" s="910" t="str">
        <f t="shared" si="7"/>
        <v>Q4</v>
      </c>
      <c r="JT10" s="911">
        <f t="shared" si="8"/>
        <v>1.0331785036787859</v>
      </c>
      <c r="JU10" s="860">
        <f t="shared" si="36"/>
        <v>18175.272394577598</v>
      </c>
      <c r="JV10" s="860">
        <f t="shared" si="37"/>
        <v>18778.300736584028</v>
      </c>
      <c r="JW10" s="860">
        <f t="shared" si="9"/>
        <v>3015599</v>
      </c>
      <c r="JX10" s="860">
        <f t="shared" si="38"/>
        <v>3059665.9282301748</v>
      </c>
      <c r="JY10" s="860">
        <f t="shared" si="10"/>
        <v>1517912</v>
      </c>
      <c r="JZ10" s="860">
        <f t="shared" si="11"/>
        <v>1373844.4221496445</v>
      </c>
      <c r="KA10" s="860">
        <f t="shared" si="39"/>
        <v>225000</v>
      </c>
      <c r="KB10" s="860">
        <f t="shared" si="40"/>
        <v>60277.482521187696</v>
      </c>
      <c r="KC10" s="860">
        <f t="shared" si="41"/>
        <v>1761087.2723945775</v>
      </c>
      <c r="KD10" s="860">
        <f t="shared" si="41"/>
        <v>1452900.2054074162</v>
      </c>
      <c r="KE10" s="211"/>
      <c r="KF10" s="210"/>
      <c r="KG10" s="209"/>
      <c r="KH10" s="243">
        <f t="shared" si="65"/>
        <v>5</v>
      </c>
      <c r="KI10" s="891">
        <v>4</v>
      </c>
      <c r="KJ10" s="920">
        <f t="shared" si="66"/>
        <v>1</v>
      </c>
      <c r="KK10" s="920">
        <f t="shared" si="66"/>
        <v>0.99592613994758195</v>
      </c>
      <c r="KL10" s="683">
        <v>1.6546666699999999</v>
      </c>
      <c r="KM10" s="794">
        <f t="shared" si="67"/>
        <v>554091.77435850853</v>
      </c>
      <c r="KN10" s="683">
        <v>1.6546666699999999</v>
      </c>
      <c r="KO10" s="794">
        <f t="shared" si="42"/>
        <v>55791.48356572695</v>
      </c>
      <c r="KP10" s="683">
        <v>1.6546666699999999</v>
      </c>
      <c r="KQ10" s="794">
        <f t="shared" si="43"/>
        <v>303960.1316634625</v>
      </c>
      <c r="KR10" s="683">
        <v>1.6546666699999999</v>
      </c>
      <c r="KS10" s="794">
        <f t="shared" si="68"/>
        <v>480881.47060617793</v>
      </c>
      <c r="KT10" s="683">
        <v>1.6546666699999999</v>
      </c>
      <c r="KU10" s="794">
        <f t="shared" si="44"/>
        <v>41594.263641285012</v>
      </c>
      <c r="KV10" s="683">
        <v>1.6546666699999999</v>
      </c>
      <c r="KW10" s="794">
        <f t="shared" si="45"/>
        <v>52172.424032006944</v>
      </c>
      <c r="KX10" s="683">
        <v>1.6546666699999999</v>
      </c>
      <c r="KY10" s="794">
        <f t="shared" si="46"/>
        <v>61501.041435344618</v>
      </c>
      <c r="KZ10" s="683">
        <v>1.6546666699999999</v>
      </c>
      <c r="LA10" s="794">
        <f t="shared" si="47"/>
        <v>168603.78607360672</v>
      </c>
      <c r="LB10" s="650">
        <f t="shared" si="48"/>
        <v>1663826.6950404223</v>
      </c>
      <c r="LC10" s="650">
        <f t="shared" si="79"/>
        <v>1718596.375376119</v>
      </c>
      <c r="LD10" s="16"/>
      <c r="LE10" s="220"/>
      <c r="LF10" s="12"/>
      <c r="LG10" s="192">
        <v>5</v>
      </c>
      <c r="LH10" s="921">
        <v>5</v>
      </c>
      <c r="LI10" s="860">
        <f t="shared" si="12"/>
        <v>1716509.0603000002</v>
      </c>
      <c r="LJ10" s="860">
        <f t="shared" si="12"/>
        <v>1761087.2723945775</v>
      </c>
      <c r="LK10" s="801">
        <f t="shared" si="13"/>
        <v>1452900.2054074162</v>
      </c>
      <c r="LL10" s="860">
        <f t="shared" si="14"/>
        <v>1632178.5171647943</v>
      </c>
      <c r="LM10" s="860">
        <f t="shared" si="14"/>
        <v>1639641.2309258883</v>
      </c>
      <c r="LN10" s="801">
        <f t="shared" si="49"/>
        <v>1694042.0735380519</v>
      </c>
      <c r="LO10" s="860">
        <f t="shared" si="50"/>
        <v>84330.543135205982</v>
      </c>
      <c r="LP10" s="860">
        <f t="shared" si="50"/>
        <v>121446.04146868922</v>
      </c>
      <c r="LQ10" s="860">
        <f t="shared" si="50"/>
        <v>-241141.8681306357</v>
      </c>
      <c r="LR10" s="12"/>
      <c r="LS10" s="13"/>
      <c r="LT10" s="12"/>
      <c r="LU10" s="192">
        <f>LU9+1</f>
        <v>5</v>
      </c>
      <c r="LV10" s="291" t="s">
        <v>200</v>
      </c>
      <c r="LW10" s="292"/>
      <c r="LX10" s="12"/>
      <c r="LY10" s="13"/>
      <c r="LZ10" s="12"/>
      <c r="MA10" s="222">
        <f t="shared" si="80"/>
        <v>4</v>
      </c>
      <c r="MB10" s="812" t="s">
        <v>195</v>
      </c>
      <c r="MC10" s="650">
        <f>N10</f>
        <v>334591.19444007974</v>
      </c>
      <c r="MD10" s="747">
        <f t="shared" si="51"/>
        <v>1.5312166710045637E-2</v>
      </c>
      <c r="ME10" s="660"/>
      <c r="MF10" s="792">
        <f>MC10</f>
        <v>334591.19444007974</v>
      </c>
      <c r="MG10" s="747">
        <f t="shared" si="52"/>
        <v>1.5312166710045637E-2</v>
      </c>
      <c r="MH10" s="12"/>
      <c r="MI10" s="13"/>
      <c r="MJ10" s="12"/>
      <c r="MK10" s="222">
        <f t="shared" si="81"/>
        <v>4</v>
      </c>
      <c r="ML10" s="812" t="str">
        <f t="shared" si="53"/>
        <v>Misc Revenue</v>
      </c>
      <c r="MM10" s="979">
        <v>204693.58767693696</v>
      </c>
      <c r="MN10" s="650">
        <f>MC10</f>
        <v>334591.19444007974</v>
      </c>
      <c r="MO10" s="650">
        <f t="shared" si="70"/>
        <v>129897.60676314277</v>
      </c>
      <c r="MP10" s="723">
        <f t="shared" si="71"/>
        <v>0.6345953883428781</v>
      </c>
      <c r="MQ10" s="12"/>
      <c r="MR10" s="13"/>
      <c r="MS10" s="12"/>
    </row>
    <row r="11" spans="1:405" ht="16.5" x14ac:dyDescent="0.3">
      <c r="B11" s="143">
        <f>B10+1</f>
        <v>6</v>
      </c>
      <c r="C11" s="790"/>
      <c r="D11" s="660" t="s">
        <v>44</v>
      </c>
      <c r="E11" s="791"/>
      <c r="F11" s="954">
        <v>4505138.589094514</v>
      </c>
      <c r="G11" s="793">
        <f t="shared" si="15"/>
        <v>0.21653343067652001</v>
      </c>
      <c r="H11" s="954">
        <v>4505138.589094514</v>
      </c>
      <c r="I11" s="724">
        <f t="shared" si="16"/>
        <v>0.2153991318302679</v>
      </c>
      <c r="J11" s="794">
        <f t="shared" si="54"/>
        <v>0</v>
      </c>
      <c r="K11" s="954">
        <v>4786954.623376444</v>
      </c>
      <c r="L11" s="724">
        <f t="shared" si="17"/>
        <v>0.21817680802357298</v>
      </c>
      <c r="M11" s="794">
        <f t="shared" si="55"/>
        <v>281816.03428192995</v>
      </c>
      <c r="N11" s="792">
        <f>MC11</f>
        <v>4749598.8</v>
      </c>
      <c r="O11" s="724">
        <f t="shared" si="18"/>
        <v>0.2173597208771044</v>
      </c>
      <c r="P11" s="794">
        <f t="shared" si="56"/>
        <v>-37355.823376444168</v>
      </c>
      <c r="Q11" s="792">
        <f t="shared" si="57"/>
        <v>244460.21090548579</v>
      </c>
      <c r="R11" s="723">
        <f>O11/G11-1</f>
        <v>3.8159936689812213E-3</v>
      </c>
      <c r="V11" s="252">
        <f t="shared" si="59"/>
        <v>4</v>
      </c>
      <c r="W11" s="806" t="s">
        <v>179</v>
      </c>
      <c r="X11" s="800">
        <f>X10/$H$24*100</f>
        <v>-0.12223564297640627</v>
      </c>
      <c r="Y11" s="800">
        <f>Y10/$H$24*100</f>
        <v>5.5966983609485974E-2</v>
      </c>
      <c r="Z11" s="800">
        <f>Z10/$H$24*100</f>
        <v>0.3086358219179598</v>
      </c>
      <c r="AA11" s="800">
        <f>AA10/$H$24*100</f>
        <v>0.24236716255103952</v>
      </c>
      <c r="AB11" s="227"/>
      <c r="AC11" s="233"/>
      <c r="AF11" s="165">
        <f t="shared" si="73"/>
        <v>5</v>
      </c>
      <c r="AG11" s="812" t="s">
        <v>77</v>
      </c>
      <c r="AH11" s="813">
        <f>CT9</f>
        <v>1762701.0470566959</v>
      </c>
      <c r="AI11" s="813">
        <f>DE9</f>
        <v>86370.623008658004</v>
      </c>
      <c r="AJ11" s="682">
        <f>DO9</f>
        <v>570064.6364464286</v>
      </c>
      <c r="AN11" s="293">
        <v>6</v>
      </c>
      <c r="AO11" s="294"/>
      <c r="AP11" s="294"/>
      <c r="AQ11" s="833" t="s">
        <v>201</v>
      </c>
      <c r="AR11" s="834"/>
      <c r="AS11" s="835">
        <v>41149542.24840001</v>
      </c>
      <c r="AT11" s="836">
        <v>4.0127088112831091</v>
      </c>
      <c r="AU11" s="837"/>
      <c r="AV11" s="835">
        <v>43536109.595200002</v>
      </c>
      <c r="AW11" s="836">
        <v>4.0341900871360252</v>
      </c>
      <c r="AX11" s="838">
        <f>AW11/AT11-1</f>
        <v>5.3533104102929663E-3</v>
      </c>
      <c r="AY11" s="837"/>
      <c r="AZ11" s="835">
        <v>52475468.259999998</v>
      </c>
      <c r="BA11" s="836">
        <v>4.067434394135975</v>
      </c>
      <c r="BB11" s="838">
        <f>BA11/AW11-1</f>
        <v>8.2406397026151268E-3</v>
      </c>
      <c r="BC11" s="837"/>
      <c r="BD11" s="835">
        <v>60296489.323600002</v>
      </c>
      <c r="BE11" s="836">
        <v>4.1000982394224748</v>
      </c>
      <c r="BF11" s="838">
        <f>BE11/BA11-1</f>
        <v>8.0305770471900129E-3</v>
      </c>
      <c r="BG11" s="837"/>
      <c r="BH11" s="835">
        <v>61146922.538433343</v>
      </c>
      <c r="BI11" s="836">
        <v>4.0237731131168939</v>
      </c>
      <c r="BJ11" s="838">
        <f>BI11/BE11-1</f>
        <v>-1.8615438423331909E-2</v>
      </c>
      <c r="BK11" s="837"/>
      <c r="BL11" s="835">
        <v>67411697.978699997</v>
      </c>
      <c r="BM11" s="836">
        <v>4.0075180177968992</v>
      </c>
      <c r="BN11" s="838">
        <f>BM11/BI11-1</f>
        <v>-4.0397643860697885E-3</v>
      </c>
      <c r="BO11" s="837"/>
      <c r="BP11" s="835">
        <v>82733345.540000066</v>
      </c>
      <c r="BQ11" s="836">
        <v>4.4605216108185832</v>
      </c>
      <c r="BR11" s="838">
        <f>BQ11/BM11-1</f>
        <v>0.11303844200074709</v>
      </c>
      <c r="BS11" s="837"/>
      <c r="BT11" s="839">
        <v>96023263.244399965</v>
      </c>
      <c r="BU11" s="839">
        <v>4.8940141407676769</v>
      </c>
      <c r="BV11" s="839">
        <f>BU11/BQ11-1</f>
        <v>9.7184268516421479E-2</v>
      </c>
      <c r="BW11" s="295">
        <v>108271476.32980001</v>
      </c>
      <c r="BX11" s="296">
        <v>5.5933628300959608</v>
      </c>
      <c r="BY11" s="840">
        <f t="shared" si="60"/>
        <v>0.14289878803222744</v>
      </c>
      <c r="BZ11" s="840">
        <v>110405938.53159995</v>
      </c>
      <c r="CA11" s="840">
        <v>5.4123287588874414</v>
      </c>
      <c r="CB11" s="840">
        <f t="shared" si="61"/>
        <v>-3.2365873036956816E-2</v>
      </c>
      <c r="CC11" s="957">
        <v>104395539.42615813</v>
      </c>
      <c r="CD11" s="957">
        <v>5.0229071493781339</v>
      </c>
      <c r="CE11" s="723">
        <f t="shared" si="62"/>
        <v>-7.1950841653853459E-2</v>
      </c>
      <c r="CF11" s="841">
        <f>F12</f>
        <v>111375540.52939449</v>
      </c>
      <c r="CG11" s="840">
        <f>G12</f>
        <v>5.3531156494630183</v>
      </c>
      <c r="CH11" s="723">
        <f>CG11/CD11-1</f>
        <v>6.574051445999074E-2</v>
      </c>
      <c r="CI11" s="842">
        <f t="shared" si="63"/>
        <v>1.7066046046654391</v>
      </c>
      <c r="CJ11" s="723">
        <f t="shared" si="74"/>
        <v>5.6874941511309673E-2</v>
      </c>
      <c r="CY11" s="20"/>
      <c r="DD11" s="12"/>
      <c r="DI11" s="20"/>
      <c r="DN11" s="12"/>
      <c r="DT11" s="297">
        <v>6</v>
      </c>
      <c r="DU11" s="875" t="s">
        <v>202</v>
      </c>
      <c r="DV11" s="727"/>
      <c r="DW11" s="727"/>
      <c r="DX11" s="727"/>
      <c r="DY11" s="727"/>
      <c r="DZ11" s="967">
        <v>1329901.5614670862</v>
      </c>
      <c r="EA11" s="968">
        <v>2463632.9117169301</v>
      </c>
      <c r="EB11" s="968">
        <v>3594215.4151920588</v>
      </c>
      <c r="EC11" s="968">
        <v>7387749.8883760758</v>
      </c>
      <c r="EQ11" s="16"/>
      <c r="ER11" s="266"/>
      <c r="FG11" s="16"/>
      <c r="FH11" s="266"/>
      <c r="FJ11" s="222">
        <f t="shared" si="78"/>
        <v>6</v>
      </c>
      <c r="FK11" s="242"/>
      <c r="FL11" s="877" t="s">
        <v>203</v>
      </c>
      <c r="FM11" s="650">
        <v>49260.639999999992</v>
      </c>
      <c r="FN11" s="650">
        <v>32406.18</v>
      </c>
      <c r="FO11" s="650">
        <v>47183.22</v>
      </c>
      <c r="FP11" s="794">
        <f t="shared" si="21"/>
        <v>128850.03999999998</v>
      </c>
      <c r="FQ11" s="650">
        <v>49260.639999999992</v>
      </c>
      <c r="FR11" s="650">
        <v>32406.18</v>
      </c>
      <c r="FS11" s="650">
        <v>47183.22</v>
      </c>
      <c r="FT11" s="650">
        <v>128850.03999999998</v>
      </c>
      <c r="FU11" s="955">
        <v>128850.03999999998</v>
      </c>
      <c r="FV11" s="16"/>
      <c r="FW11" s="203"/>
      <c r="FY11" s="222">
        <v>6</v>
      </c>
      <c r="FZ11" s="969" t="s">
        <v>204</v>
      </c>
      <c r="GA11" s="650">
        <v>69215.070000000007</v>
      </c>
      <c r="GB11" s="650">
        <v>311010.10159999999</v>
      </c>
      <c r="GC11" s="650">
        <v>175816.9</v>
      </c>
      <c r="GD11" s="794">
        <f t="shared" si="1"/>
        <v>556042.07160000002</v>
      </c>
      <c r="GE11" s="650">
        <v>36325.46</v>
      </c>
      <c r="GF11" s="650">
        <v>74259.621599999984</v>
      </c>
      <c r="GG11" s="650">
        <v>30632.449999999986</v>
      </c>
      <c r="GH11" s="650">
        <f>SUM(GE11:GG11)</f>
        <v>141217.53159999996</v>
      </c>
      <c r="GI11" s="202"/>
      <c r="GJ11" s="203"/>
      <c r="GZ11" s="222">
        <v>6</v>
      </c>
      <c r="HA11" s="663">
        <v>6</v>
      </c>
      <c r="HB11" s="663">
        <v>10</v>
      </c>
      <c r="HC11" s="663">
        <v>10</v>
      </c>
      <c r="HD11" s="682">
        <v>31932119.545454547</v>
      </c>
      <c r="HE11" s="682">
        <v>32250691</v>
      </c>
      <c r="HF11" s="724">
        <f t="shared" si="22"/>
        <v>1</v>
      </c>
      <c r="HG11" s="724">
        <f t="shared" si="23"/>
        <v>1.0099765207909852</v>
      </c>
      <c r="HH11" s="723">
        <v>1</v>
      </c>
      <c r="HI11" s="723">
        <v>0</v>
      </c>
      <c r="HJ11" s="723">
        <v>0</v>
      </c>
      <c r="HN11" s="243">
        <v>6</v>
      </c>
      <c r="HO11" s="891">
        <v>6</v>
      </c>
      <c r="HP11" s="793">
        <f t="shared" si="2"/>
        <v>1.0099765207909852</v>
      </c>
      <c r="HQ11" s="650">
        <v>0</v>
      </c>
      <c r="HR11" s="794">
        <f t="shared" si="24"/>
        <v>0</v>
      </c>
      <c r="HS11" s="650">
        <v>3465446.1818181816</v>
      </c>
      <c r="HT11" s="975">
        <v>3489174</v>
      </c>
      <c r="HU11" s="650">
        <v>1496716.5628727272</v>
      </c>
      <c r="HV11" s="975">
        <v>1721487</v>
      </c>
      <c r="HW11" s="650">
        <v>225000</v>
      </c>
      <c r="HX11" s="955">
        <v>225000</v>
      </c>
      <c r="HY11" s="650">
        <f t="shared" si="25"/>
        <v>1721716.5628727272</v>
      </c>
      <c r="HZ11" s="650">
        <f t="shared" si="25"/>
        <v>1946487</v>
      </c>
      <c r="IA11" s="206"/>
      <c r="IB11" s="207"/>
      <c r="IC11" s="206"/>
      <c r="ID11" s="244">
        <v>6</v>
      </c>
      <c r="IE11" s="891">
        <v>6</v>
      </c>
      <c r="IF11" s="899">
        <f t="shared" si="3"/>
        <v>1</v>
      </c>
      <c r="IG11" s="900">
        <f t="shared" si="3"/>
        <v>1.0099765207909852</v>
      </c>
      <c r="IH11" s="955">
        <v>643151.33366376476</v>
      </c>
      <c r="II11" s="794">
        <f t="shared" si="64"/>
        <v>649567.74631581118</v>
      </c>
      <c r="IJ11" s="955">
        <v>48283.804000000004</v>
      </c>
      <c r="IK11" s="794">
        <f t="shared" si="26"/>
        <v>48765.508374473859</v>
      </c>
      <c r="IL11" s="955">
        <v>378134.38324532611</v>
      </c>
      <c r="IM11" s="794">
        <f t="shared" si="82"/>
        <v>378134.38324532611</v>
      </c>
      <c r="IN11" s="955">
        <v>592148.52086575574</v>
      </c>
      <c r="IO11" s="995">
        <v>592148.52086575574</v>
      </c>
      <c r="IP11" s="955">
        <v>65904.153500000029</v>
      </c>
      <c r="IQ11" s="794">
        <f t="shared" si="27"/>
        <v>66561.647657605063</v>
      </c>
      <c r="IR11" s="955">
        <v>59879.82918181819</v>
      </c>
      <c r="IS11" s="794">
        <f t="shared" si="28"/>
        <v>60477.221542611245</v>
      </c>
      <c r="IT11" s="955">
        <v>35609.333636363634</v>
      </c>
      <c r="IU11" s="794">
        <f t="shared" si="29"/>
        <v>35964.590893739944</v>
      </c>
      <c r="IV11" s="955">
        <v>189514.22679545454</v>
      </c>
      <c r="IW11" s="794">
        <f t="shared" si="30"/>
        <v>191404.91941926687</v>
      </c>
      <c r="IX11" s="650">
        <f t="shared" si="31"/>
        <v>2012625.5848884832</v>
      </c>
      <c r="IY11" s="650">
        <f t="shared" si="31"/>
        <v>2023024.5383145902</v>
      </c>
      <c r="IZ11" s="683">
        <f t="shared" si="4"/>
        <v>6.2728099013896799</v>
      </c>
      <c r="JD11" s="222">
        <v>6</v>
      </c>
      <c r="JE11" s="663">
        <v>6</v>
      </c>
      <c r="JF11" s="660">
        <f t="shared" si="5"/>
        <v>10</v>
      </c>
      <c r="JG11" s="660">
        <f t="shared" si="32"/>
        <v>10</v>
      </c>
      <c r="JH11" s="905">
        <f t="shared" si="6"/>
        <v>32250691</v>
      </c>
      <c r="JI11" s="905">
        <f t="shared" si="83"/>
        <v>32119306.198272221</v>
      </c>
      <c r="JJ11" s="906">
        <f t="shared" si="33"/>
        <v>1</v>
      </c>
      <c r="JK11" s="906">
        <f t="shared" si="34"/>
        <v>0.99592613994758195</v>
      </c>
      <c r="JL11" s="906">
        <f t="shared" si="35"/>
        <v>1.0418338037344552</v>
      </c>
      <c r="JM11" s="663" t="s">
        <v>425</v>
      </c>
      <c r="JN11" s="209"/>
      <c r="JO11" s="210"/>
      <c r="JP11" s="209"/>
      <c r="JQ11" s="222">
        <v>6</v>
      </c>
      <c r="JR11" s="663">
        <v>6</v>
      </c>
      <c r="JS11" s="914" t="str">
        <f t="shared" si="7"/>
        <v>Q2</v>
      </c>
      <c r="JT11" s="913">
        <f t="shared" si="8"/>
        <v>1.0418338037344552</v>
      </c>
      <c r="JU11" s="671">
        <f t="shared" si="36"/>
        <v>0</v>
      </c>
      <c r="JV11" s="671">
        <f t="shared" si="37"/>
        <v>0</v>
      </c>
      <c r="JW11" s="671">
        <f t="shared" si="9"/>
        <v>3489174</v>
      </c>
      <c r="JX11" s="671">
        <f t="shared" si="38"/>
        <v>3543758.5810254188</v>
      </c>
      <c r="JY11" s="671">
        <f t="shared" si="10"/>
        <v>1721487</v>
      </c>
      <c r="JZ11" s="671">
        <f t="shared" si="11"/>
        <v>1591210.6335095463</v>
      </c>
      <c r="KA11" s="671">
        <f t="shared" si="39"/>
        <v>225000</v>
      </c>
      <c r="KB11" s="671">
        <f t="shared" si="40"/>
        <v>69814.434300227003</v>
      </c>
      <c r="KC11" s="671">
        <f t="shared" si="41"/>
        <v>1946487</v>
      </c>
      <c r="KD11" s="671">
        <f t="shared" si="41"/>
        <v>1661025.0678097734</v>
      </c>
      <c r="KE11" s="211"/>
      <c r="KF11" s="210"/>
      <c r="KG11" s="209"/>
      <c r="KH11" s="245">
        <f t="shared" si="65"/>
        <v>6</v>
      </c>
      <c r="KI11" s="917">
        <v>5</v>
      </c>
      <c r="KJ11" s="918">
        <f t="shared" si="66"/>
        <v>1</v>
      </c>
      <c r="KK11" s="918">
        <f t="shared" si="66"/>
        <v>0.99592613994758195</v>
      </c>
      <c r="KL11" s="898">
        <v>1.6546666699999999</v>
      </c>
      <c r="KM11" s="801">
        <f t="shared" si="67"/>
        <v>369541.92743373947</v>
      </c>
      <c r="KN11" s="898">
        <v>1.6546666699999999</v>
      </c>
      <c r="KO11" s="801">
        <f t="shared" si="42"/>
        <v>27893.277658684863</v>
      </c>
      <c r="KP11" s="898">
        <v>1.6546666699999999</v>
      </c>
      <c r="KQ11" s="801">
        <f t="shared" si="43"/>
        <v>450499.46725239768</v>
      </c>
      <c r="KR11" s="898">
        <v>1.6546666699999999</v>
      </c>
      <c r="KS11" s="801">
        <f t="shared" si="68"/>
        <v>427821.13104839704</v>
      </c>
      <c r="KT11" s="898">
        <v>1.6546666699999999</v>
      </c>
      <c r="KU11" s="801">
        <f t="shared" si="44"/>
        <v>94905.367273692274</v>
      </c>
      <c r="KV11" s="898">
        <v>1.6546666699999999</v>
      </c>
      <c r="KW11" s="801">
        <f t="shared" si="45"/>
        <v>55776.230448832088</v>
      </c>
      <c r="KX11" s="898">
        <v>1.6546666699999999</v>
      </c>
      <c r="KY11" s="801">
        <f t="shared" si="46"/>
        <v>39443.71433660914</v>
      </c>
      <c r="KZ11" s="898">
        <v>1.6546666699999999</v>
      </c>
      <c r="LA11" s="919">
        <f t="shared" si="47"/>
        <v>228160.95808569924</v>
      </c>
      <c r="LB11" s="646">
        <f t="shared" si="48"/>
        <v>1639641.2309258883</v>
      </c>
      <c r="LC11" s="646">
        <f t="shared" si="79"/>
        <v>1694042.0735380519</v>
      </c>
      <c r="LD11" s="16"/>
      <c r="LE11" s="220"/>
      <c r="LG11" s="222">
        <v>6</v>
      </c>
      <c r="LH11" s="922">
        <v>6</v>
      </c>
      <c r="LI11" s="650">
        <f t="shared" si="12"/>
        <v>1721716.5628727272</v>
      </c>
      <c r="LJ11" s="650">
        <f t="shared" si="12"/>
        <v>1946487</v>
      </c>
      <c r="LK11" s="794">
        <f t="shared" si="13"/>
        <v>1661025.0678097734</v>
      </c>
      <c r="LL11" s="650">
        <f t="shared" si="14"/>
        <v>2012625.5848884832</v>
      </c>
      <c r="LM11" s="650">
        <f t="shared" si="14"/>
        <v>2023024.5383145902</v>
      </c>
      <c r="LN11" s="794">
        <f t="shared" si="49"/>
        <v>2107655.3498004298</v>
      </c>
      <c r="LO11" s="650">
        <f t="shared" si="50"/>
        <v>-290909.022015756</v>
      </c>
      <c r="LP11" s="650">
        <f>LJ11-LM11</f>
        <v>-76537.538314590231</v>
      </c>
      <c r="LQ11" s="650">
        <f t="shared" si="50"/>
        <v>-446630.2819906564</v>
      </c>
      <c r="LU11" s="222">
        <f>LU10+1</f>
        <v>6</v>
      </c>
      <c r="LV11" s="812" t="s">
        <v>205</v>
      </c>
      <c r="LW11" s="925">
        <v>5.3900000000000003E-2</v>
      </c>
      <c r="MA11" s="192">
        <f>MA10+1</f>
        <v>5</v>
      </c>
      <c r="MB11" s="814" t="s">
        <v>44</v>
      </c>
      <c r="MC11" s="860">
        <f>'ABDA 8 month Phase II'!II4*'ABDA 8 month Phase II'!IH4</f>
        <v>4749598.8</v>
      </c>
      <c r="MD11" s="928">
        <f t="shared" si="51"/>
        <v>0.2173597208771044</v>
      </c>
      <c r="ME11" s="796"/>
      <c r="MF11" s="798">
        <f>MC11</f>
        <v>4749598.8</v>
      </c>
      <c r="MG11" s="928">
        <f t="shared" si="52"/>
        <v>0.2173597208771044</v>
      </c>
      <c r="MK11" s="192">
        <f t="shared" si="81"/>
        <v>5</v>
      </c>
      <c r="ML11" s="814" t="str">
        <f t="shared" si="53"/>
        <v>Depot Viability Handling Commissions</v>
      </c>
      <c r="MM11" s="979">
        <v>4758928.0499999989</v>
      </c>
      <c r="MN11" s="860">
        <f>MF11</f>
        <v>4749598.8</v>
      </c>
      <c r="MO11" s="860">
        <f t="shared" si="70"/>
        <v>-9329.2499999990687</v>
      </c>
      <c r="MP11" s="802">
        <f t="shared" si="71"/>
        <v>-1.9603679446254857E-3</v>
      </c>
    </row>
    <row r="12" spans="1:405" s="29" customFormat="1" ht="17.100000000000001" customHeight="1" thickBot="1" x14ac:dyDescent="0.35">
      <c r="B12" s="181">
        <f>B11+1</f>
        <v>7</v>
      </c>
      <c r="C12" s="803" t="s">
        <v>206</v>
      </c>
      <c r="D12" s="804"/>
      <c r="E12" s="797"/>
      <c r="F12" s="798">
        <f>F9+F10+F11</f>
        <v>111375540.52939449</v>
      </c>
      <c r="G12" s="799">
        <f t="shared" si="15"/>
        <v>5.3531156494630183</v>
      </c>
      <c r="H12" s="798">
        <f>H9+H10+H11</f>
        <v>106354818.26747276</v>
      </c>
      <c r="I12" s="800">
        <f t="shared" si="16"/>
        <v>5.0850234832362764</v>
      </c>
      <c r="J12" s="801">
        <f t="shared" si="54"/>
        <v>-5020722.2619217336</v>
      </c>
      <c r="K12" s="798">
        <f>K9+K10+K11</f>
        <v>129005962.21597157</v>
      </c>
      <c r="L12" s="800">
        <f t="shared" si="17"/>
        <v>5.8797526333010612</v>
      </c>
      <c r="M12" s="801">
        <f t="shared" si="55"/>
        <v>22651143.948498815</v>
      </c>
      <c r="N12" s="798">
        <f>N9+N10+N11</f>
        <v>113337049.03736736</v>
      </c>
      <c r="O12" s="800">
        <f t="shared" si="18"/>
        <v>5.1867347919569262</v>
      </c>
      <c r="P12" s="801">
        <f t="shared" si="56"/>
        <v>-15668913.178604215</v>
      </c>
      <c r="Q12" s="798">
        <f t="shared" si="57"/>
        <v>1961508.5079728663</v>
      </c>
      <c r="R12" s="802">
        <f t="shared" si="58"/>
        <v>-3.1081125161714351E-2</v>
      </c>
      <c r="S12" s="12"/>
      <c r="T12" s="13"/>
      <c r="U12" s="12"/>
      <c r="V12" s="165">
        <f t="shared" si="59"/>
        <v>5</v>
      </c>
      <c r="W12" s="808" t="s">
        <v>132</v>
      </c>
      <c r="X12" s="650">
        <f>X10-X7</f>
        <v>-2643133.7078647274</v>
      </c>
      <c r="Y12" s="650">
        <f t="shared" ref="Y12:AA12" si="84">Y10-Y7</f>
        <v>-2061160.729802558</v>
      </c>
      <c r="Z12" s="650">
        <f t="shared" si="84"/>
        <v>2614500.5078417864</v>
      </c>
      <c r="AA12" s="650">
        <f t="shared" si="84"/>
        <v>-2089793.9298254987</v>
      </c>
      <c r="AB12" s="230"/>
      <c r="AC12" s="234"/>
      <c r="AD12" s="13"/>
      <c r="AE12" s="12"/>
      <c r="AF12" s="252">
        <f t="shared" si="73"/>
        <v>6</v>
      </c>
      <c r="AG12" s="814" t="s">
        <v>180</v>
      </c>
      <c r="AH12" s="815">
        <f>AH11*3600/$H$24</f>
        <v>3.0340096397324476</v>
      </c>
      <c r="AI12" s="815">
        <f>AI11*3600/$H$24</f>
        <v>0.14866349755423783</v>
      </c>
      <c r="AJ12" s="815">
        <f>AJ11*3600/$H$24</f>
        <v>0.98121096889176984</v>
      </c>
      <c r="AK12" s="12"/>
      <c r="AL12" s="299"/>
      <c r="AM12" s="12"/>
      <c r="AN12" s="192">
        <v>7</v>
      </c>
      <c r="AO12" s="193"/>
      <c r="AP12" s="191" t="s">
        <v>207</v>
      </c>
      <c r="AQ12" s="7"/>
      <c r="AR12" s="195"/>
      <c r="AS12" s="255"/>
      <c r="AT12" s="256"/>
      <c r="AU12" s="257"/>
      <c r="AV12" s="255"/>
      <c r="AW12" s="256"/>
      <c r="AX12" s="250"/>
      <c r="AY12" s="257"/>
      <c r="AZ12" s="255"/>
      <c r="BA12" s="300"/>
      <c r="BB12" s="250"/>
      <c r="BC12" s="257"/>
      <c r="BD12" s="255"/>
      <c r="BE12" s="300"/>
      <c r="BF12" s="250"/>
      <c r="BG12" s="257"/>
      <c r="BH12" s="255"/>
      <c r="BI12" s="300"/>
      <c r="BJ12" s="250"/>
      <c r="BK12" s="257"/>
      <c r="BL12" s="255"/>
      <c r="BM12" s="300"/>
      <c r="BN12" s="250"/>
      <c r="BO12" s="257"/>
      <c r="BP12" s="255"/>
      <c r="BQ12" s="300"/>
      <c r="BR12" s="250"/>
      <c r="BS12" s="257"/>
      <c r="BW12" s="258"/>
      <c r="BX12" s="259"/>
      <c r="BY12" s="260"/>
      <c r="BZ12" s="260"/>
      <c r="CA12" s="260"/>
      <c r="CB12" s="260"/>
      <c r="CC12" s="958"/>
      <c r="CD12" s="958"/>
      <c r="CE12" s="301"/>
      <c r="CF12" s="247"/>
      <c r="CG12" s="260"/>
      <c r="CH12" s="301"/>
      <c r="CI12" s="262"/>
      <c r="CJ12" s="301"/>
      <c r="CK12" s="12"/>
      <c r="CL12" s="13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232"/>
      <c r="CY12" s="20"/>
      <c r="CZ12" s="12"/>
      <c r="DA12" s="12"/>
      <c r="DB12" s="12"/>
      <c r="DC12" s="12"/>
      <c r="DD12" s="12"/>
      <c r="DE12" s="12"/>
      <c r="DF12" s="12"/>
      <c r="DG12" s="12"/>
      <c r="DH12" s="12"/>
      <c r="DI12" s="20"/>
      <c r="DJ12" s="12"/>
      <c r="DK12" s="12"/>
      <c r="DL12" s="12"/>
      <c r="DM12" s="12"/>
      <c r="DN12" s="12"/>
      <c r="DO12" s="12"/>
      <c r="DP12" s="12"/>
      <c r="DQ12" s="12"/>
      <c r="DR12" s="13"/>
      <c r="DS12" s="12"/>
      <c r="DT12" s="302">
        <v>7</v>
      </c>
      <c r="DU12" s="303" t="s">
        <v>71</v>
      </c>
      <c r="DV12" s="304">
        <f t="shared" ref="DV12:EC12" si="85">SUM(DV7:DV11)</f>
        <v>3987595.5110999998</v>
      </c>
      <c r="DW12" s="304">
        <f t="shared" si="85"/>
        <v>7161030.7631999999</v>
      </c>
      <c r="DX12" s="304">
        <f t="shared" si="85"/>
        <v>14640317.082199998</v>
      </c>
      <c r="DY12" s="305">
        <f t="shared" si="85"/>
        <v>25788943.3565</v>
      </c>
      <c r="DZ12" s="304">
        <f t="shared" si="85"/>
        <v>4518233.5472997567</v>
      </c>
      <c r="EA12" s="304">
        <f t="shared" si="85"/>
        <v>7797060.9032192249</v>
      </c>
      <c r="EB12" s="304">
        <f t="shared" si="85"/>
        <v>10788534.636658216</v>
      </c>
      <c r="EC12" s="304">
        <f t="shared" si="85"/>
        <v>23103829.087177198</v>
      </c>
      <c r="ED12" s="12"/>
      <c r="EE12" s="13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6"/>
      <c r="ER12" s="266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6"/>
      <c r="FH12" s="266"/>
      <c r="FI12" s="12"/>
      <c r="FJ12" s="192">
        <f t="shared" si="78"/>
        <v>7</v>
      </c>
      <c r="FK12" s="265"/>
      <c r="FL12" s="878" t="s">
        <v>208</v>
      </c>
      <c r="FM12" s="860">
        <v>156010.497</v>
      </c>
      <c r="FN12" s="860">
        <v>388247.39</v>
      </c>
      <c r="FO12" s="860">
        <v>395682.24947999994</v>
      </c>
      <c r="FP12" s="801">
        <f t="shared" si="21"/>
        <v>939940.13647999999</v>
      </c>
      <c r="FQ12" s="860">
        <v>156830.33790909091</v>
      </c>
      <c r="FR12" s="860">
        <v>388247.39</v>
      </c>
      <c r="FS12" s="860">
        <v>400882.74947999994</v>
      </c>
      <c r="FT12" s="860">
        <v>945960.47738909081</v>
      </c>
      <c r="FU12" s="955">
        <v>945960.47738909081</v>
      </c>
      <c r="FV12" s="16"/>
      <c r="FW12" s="266"/>
      <c r="FX12" s="12"/>
      <c r="FY12" s="302">
        <v>7</v>
      </c>
      <c r="FZ12" s="306" t="s">
        <v>88</v>
      </c>
      <c r="GA12" s="304">
        <f t="shared" ref="GA12:GH12" si="86">SUM(GA6:GA11)</f>
        <v>203809.78099999999</v>
      </c>
      <c r="GB12" s="304">
        <f t="shared" si="86"/>
        <v>466245.03159999999</v>
      </c>
      <c r="GC12" s="304">
        <f t="shared" si="86"/>
        <v>446450.19000000006</v>
      </c>
      <c r="GD12" s="305">
        <f t="shared" si="86"/>
        <v>1116505.0026</v>
      </c>
      <c r="GE12" s="304">
        <f t="shared" si="86"/>
        <v>39789.800999999999</v>
      </c>
      <c r="GF12" s="304">
        <f t="shared" si="86"/>
        <v>148024.76159999997</v>
      </c>
      <c r="GG12" s="304">
        <f t="shared" si="86"/>
        <v>126816.28999999998</v>
      </c>
      <c r="GH12" s="305">
        <f t="shared" si="86"/>
        <v>314630.85259999998</v>
      </c>
      <c r="GI12" s="16"/>
      <c r="GJ12" s="203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3"/>
      <c r="GX12" s="12"/>
      <c r="GY12" s="12"/>
      <c r="GZ12" s="192">
        <v>7</v>
      </c>
      <c r="HA12" s="886">
        <v>7</v>
      </c>
      <c r="HB12" s="886">
        <v>10</v>
      </c>
      <c r="HC12" s="886">
        <v>12</v>
      </c>
      <c r="HD12" s="887">
        <v>38020664</v>
      </c>
      <c r="HE12" s="887">
        <v>45023413</v>
      </c>
      <c r="HF12" s="800">
        <f t="shared" si="22"/>
        <v>1.2</v>
      </c>
      <c r="HG12" s="800">
        <f t="shared" si="23"/>
        <v>1.1841827118011405</v>
      </c>
      <c r="HH12" s="802">
        <v>1</v>
      </c>
      <c r="HI12" s="802">
        <v>0</v>
      </c>
      <c r="HJ12" s="802">
        <v>0</v>
      </c>
      <c r="HK12" s="12"/>
      <c r="HL12" s="13"/>
      <c r="HM12" s="12"/>
      <c r="HN12" s="267">
        <v>7</v>
      </c>
      <c r="HO12" s="892">
        <v>7</v>
      </c>
      <c r="HP12" s="799">
        <f t="shared" si="2"/>
        <v>1.1841827118011405</v>
      </c>
      <c r="HQ12" s="860">
        <v>2625.0909999999994</v>
      </c>
      <c r="HR12" s="801">
        <f t="shared" si="24"/>
        <v>3108.587379104767</v>
      </c>
      <c r="HS12" s="860">
        <v>4131025</v>
      </c>
      <c r="HT12" s="975">
        <v>4886341</v>
      </c>
      <c r="HU12" s="860">
        <v>1932272.8392</v>
      </c>
      <c r="HV12" s="975">
        <v>2550044</v>
      </c>
      <c r="HW12" s="860">
        <v>225000</v>
      </c>
      <c r="HX12" s="955">
        <v>270000</v>
      </c>
      <c r="HY12" s="860">
        <f t="shared" si="25"/>
        <v>2159897.9302000003</v>
      </c>
      <c r="HZ12" s="860">
        <f t="shared" si="25"/>
        <v>2823152.5873791049</v>
      </c>
      <c r="IA12" s="206"/>
      <c r="IB12" s="207"/>
      <c r="IC12" s="206"/>
      <c r="ID12" s="208">
        <v>7</v>
      </c>
      <c r="IE12" s="892">
        <v>7</v>
      </c>
      <c r="IF12" s="896">
        <f t="shared" si="3"/>
        <v>1.2</v>
      </c>
      <c r="IG12" s="897">
        <f t="shared" si="3"/>
        <v>1.1841827118011405</v>
      </c>
      <c r="IH12" s="955">
        <v>713038.95958031644</v>
      </c>
      <c r="II12" s="801">
        <f t="shared" si="64"/>
        <v>844368.40877568291</v>
      </c>
      <c r="IJ12" s="955">
        <v>87337.3</v>
      </c>
      <c r="IK12" s="801">
        <f t="shared" si="26"/>
        <v>103423.32075538975</v>
      </c>
      <c r="IL12" s="955">
        <v>425618.89441968338</v>
      </c>
      <c r="IM12" s="801">
        <f t="shared" si="82"/>
        <v>510742.67330362002</v>
      </c>
      <c r="IN12" s="955">
        <v>522406.19132917118</v>
      </c>
      <c r="IO12" s="995">
        <v>674140.55331500247</v>
      </c>
      <c r="IP12" s="955">
        <v>178194.31999999995</v>
      </c>
      <c r="IQ12" s="801">
        <f t="shared" si="27"/>
        <v>211014.63308516017</v>
      </c>
      <c r="IR12" s="955">
        <v>66471.787500000006</v>
      </c>
      <c r="IS12" s="801">
        <f t="shared" si="28"/>
        <v>78714.741580019167</v>
      </c>
      <c r="IT12" s="955">
        <v>59926.53</v>
      </c>
      <c r="IU12" s="801">
        <f t="shared" si="29"/>
        <v>70963.960804232396</v>
      </c>
      <c r="IV12" s="955">
        <v>219294.0816</v>
      </c>
      <c r="IW12" s="801">
        <f t="shared" si="30"/>
        <v>259684.2602310286</v>
      </c>
      <c r="IX12" s="860">
        <f t="shared" si="31"/>
        <v>2272288.0644291709</v>
      </c>
      <c r="IY12" s="860">
        <f t="shared" si="31"/>
        <v>2753052.5518501359</v>
      </c>
      <c r="IZ12" s="898">
        <f t="shared" si="4"/>
        <v>6.1147131423602552</v>
      </c>
      <c r="JA12" s="12"/>
      <c r="JB12" s="13"/>
      <c r="JC12" s="12"/>
      <c r="JD12" s="192">
        <v>7</v>
      </c>
      <c r="JE12" s="886">
        <v>7</v>
      </c>
      <c r="JF12" s="796">
        <f t="shared" si="5"/>
        <v>12</v>
      </c>
      <c r="JG12" s="796">
        <f t="shared" si="32"/>
        <v>12</v>
      </c>
      <c r="JH12" s="859">
        <f t="shared" si="6"/>
        <v>45023413</v>
      </c>
      <c r="JI12" s="859">
        <f t="shared" si="83"/>
        <v>44839993.916355781</v>
      </c>
      <c r="JJ12" s="904">
        <f t="shared" si="33"/>
        <v>1</v>
      </c>
      <c r="JK12" s="904">
        <f t="shared" si="34"/>
        <v>0.99592613994758195</v>
      </c>
      <c r="JL12" s="904">
        <f t="shared" si="35"/>
        <v>1.027841888991462</v>
      </c>
      <c r="JM12" s="886" t="s">
        <v>238</v>
      </c>
      <c r="JN12" s="209"/>
      <c r="JO12" s="210"/>
      <c r="JP12" s="209"/>
      <c r="JQ12" s="192">
        <v>7</v>
      </c>
      <c r="JR12" s="886">
        <v>7</v>
      </c>
      <c r="JS12" s="910" t="str">
        <f t="shared" si="7"/>
        <v>Q3</v>
      </c>
      <c r="JT12" s="911">
        <f t="shared" si="8"/>
        <v>1.027841888991462</v>
      </c>
      <c r="JU12" s="860">
        <f t="shared" si="36"/>
        <v>3108.587379104767</v>
      </c>
      <c r="JV12" s="860">
        <f t="shared" si="37"/>
        <v>3195.1363238340618</v>
      </c>
      <c r="JW12" s="860">
        <f t="shared" si="9"/>
        <v>4886341</v>
      </c>
      <c r="JX12" s="860">
        <f t="shared" si="38"/>
        <v>4947246.1277124695</v>
      </c>
      <c r="JY12" s="860">
        <f t="shared" si="10"/>
        <v>2550044</v>
      </c>
      <c r="JZ12" s="860">
        <f t="shared" si="11"/>
        <v>2221401.5049318462</v>
      </c>
      <c r="KA12" s="860">
        <f t="shared" si="39"/>
        <v>270000</v>
      </c>
      <c r="KB12" s="860">
        <f t="shared" si="40"/>
        <v>97464.085617901525</v>
      </c>
      <c r="KC12" s="860">
        <f t="shared" si="41"/>
        <v>2823152.5873791049</v>
      </c>
      <c r="KD12" s="860">
        <f t="shared" si="41"/>
        <v>2322060.7268735813</v>
      </c>
      <c r="KE12" s="211"/>
      <c r="KF12" s="210"/>
      <c r="KG12" s="209"/>
      <c r="KH12" s="243">
        <f t="shared" si="65"/>
        <v>7</v>
      </c>
      <c r="KI12" s="891">
        <v>6</v>
      </c>
      <c r="KJ12" s="920">
        <f t="shared" si="66"/>
        <v>1</v>
      </c>
      <c r="KK12" s="920">
        <f t="shared" si="66"/>
        <v>0.99592613994758195</v>
      </c>
      <c r="KL12" s="683">
        <v>1.6406666700000001</v>
      </c>
      <c r="KM12" s="794">
        <f t="shared" si="67"/>
        <v>675416.53824692452</v>
      </c>
      <c r="KN12" s="683">
        <v>1.6406666700000001</v>
      </c>
      <c r="KO12" s="794">
        <f t="shared" si="42"/>
        <v>50706.074984402003</v>
      </c>
      <c r="KP12" s="683">
        <v>1.6406666700000001</v>
      </c>
      <c r="KQ12" s="794">
        <f t="shared" si="43"/>
        <v>394790.12032423163</v>
      </c>
      <c r="KR12" s="683">
        <v>1.6406666700000001</v>
      </c>
      <c r="KS12" s="794">
        <f t="shared" si="68"/>
        <v>618230.96803852217</v>
      </c>
      <c r="KT12" s="683">
        <v>1.6406666700000001</v>
      </c>
      <c r="KU12" s="794">
        <f t="shared" si="44"/>
        <v>69210.390903635955</v>
      </c>
      <c r="KV12" s="683">
        <v>1.6406666700000001</v>
      </c>
      <c r="KW12" s="794">
        <f t="shared" si="45"/>
        <v>62883.842137758176</v>
      </c>
      <c r="KX12" s="683">
        <v>1.6406666700000001</v>
      </c>
      <c r="KY12" s="794">
        <f t="shared" si="46"/>
        <v>37395.75990139557</v>
      </c>
      <c r="KZ12" s="683">
        <v>1.6406666700000001</v>
      </c>
      <c r="LA12" s="794">
        <f t="shared" si="47"/>
        <v>199021.65526355972</v>
      </c>
      <c r="LB12" s="650">
        <f t="shared" si="48"/>
        <v>2023024.5383145902</v>
      </c>
      <c r="LC12" s="650">
        <f t="shared" si="79"/>
        <v>2107655.3498004298</v>
      </c>
      <c r="LD12" s="16"/>
      <c r="LE12" s="220"/>
      <c r="LF12" s="12"/>
      <c r="LG12" s="192">
        <v>7</v>
      </c>
      <c r="LH12" s="921">
        <v>7</v>
      </c>
      <c r="LI12" s="860">
        <f t="shared" si="12"/>
        <v>2159897.9302000003</v>
      </c>
      <c r="LJ12" s="860">
        <f t="shared" si="12"/>
        <v>2823152.5873791049</v>
      </c>
      <c r="LK12" s="801">
        <f t="shared" si="13"/>
        <v>2322060.7268735813</v>
      </c>
      <c r="LL12" s="860">
        <f t="shared" si="14"/>
        <v>2272288.0644291709</v>
      </c>
      <c r="LM12" s="860">
        <f t="shared" si="14"/>
        <v>2753052.5518501359</v>
      </c>
      <c r="LN12" s="801">
        <f t="shared" si="49"/>
        <v>2829702.7353864089</v>
      </c>
      <c r="LO12" s="860">
        <f t="shared" si="50"/>
        <v>-112390.13422917062</v>
      </c>
      <c r="LP12" s="860">
        <f>LJ12-LM12</f>
        <v>70100.03552896902</v>
      </c>
      <c r="LQ12" s="860">
        <f t="shared" si="50"/>
        <v>-507642.00851282757</v>
      </c>
      <c r="LR12" s="12"/>
      <c r="LS12" s="13"/>
      <c r="LT12" s="12"/>
      <c r="LU12" s="192">
        <f t="shared" si="69"/>
        <v>7</v>
      </c>
      <c r="LV12" s="926" t="s">
        <v>209</v>
      </c>
      <c r="LW12" s="924">
        <f>LW9/(1-LW11)</f>
        <v>370683399.6188401</v>
      </c>
      <c r="LX12" s="12"/>
      <c r="LY12" s="13"/>
      <c r="LZ12" s="12"/>
      <c r="MA12" s="222">
        <f>MA11+1</f>
        <v>6</v>
      </c>
      <c r="MB12" s="833" t="s">
        <v>206</v>
      </c>
      <c r="MC12" s="929">
        <f>N12</f>
        <v>113337049.03736736</v>
      </c>
      <c r="MD12" s="930">
        <f t="shared" si="51"/>
        <v>5.1867347919569262</v>
      </c>
      <c r="ME12" s="839"/>
      <c r="MF12" s="931">
        <f>MF9+MF10+MF11</f>
        <v>129595268.30853163</v>
      </c>
      <c r="MG12" s="930">
        <f t="shared" si="52"/>
        <v>5.9307727942275656</v>
      </c>
      <c r="MH12" s="12"/>
      <c r="MI12" s="13"/>
      <c r="MJ12" s="12"/>
      <c r="MK12" s="222">
        <f t="shared" si="81"/>
        <v>6</v>
      </c>
      <c r="ML12" s="833" t="str">
        <f t="shared" si="53"/>
        <v>Net Revenue</v>
      </c>
      <c r="MM12" s="980">
        <v>136637688.37609816</v>
      </c>
      <c r="MN12" s="929">
        <f>MC12</f>
        <v>113337049.03736736</v>
      </c>
      <c r="MO12" s="929">
        <f t="shared" si="70"/>
        <v>-23300639.338730797</v>
      </c>
      <c r="MP12" s="940">
        <f t="shared" si="71"/>
        <v>-0.17052864122375438</v>
      </c>
      <c r="MQ12" s="12"/>
      <c r="MR12" s="13"/>
      <c r="MS12" s="12"/>
    </row>
    <row r="13" spans="1:405" ht="16.5" x14ac:dyDescent="0.3">
      <c r="B13" s="143">
        <f t="shared" si="72"/>
        <v>8</v>
      </c>
      <c r="C13" s="307" t="s">
        <v>207</v>
      </c>
      <c r="D13" s="5"/>
      <c r="E13" s="308"/>
      <c r="F13" s="225"/>
      <c r="G13" s="226"/>
      <c r="H13" s="225"/>
      <c r="I13" s="227"/>
      <c r="J13" s="228"/>
      <c r="K13" s="225"/>
      <c r="L13" s="227"/>
      <c r="M13" s="228"/>
      <c r="N13" s="225"/>
      <c r="O13" s="227"/>
      <c r="P13" s="228"/>
      <c r="Q13" s="225"/>
      <c r="R13" s="229"/>
      <c r="V13" s="185"/>
      <c r="W13" s="186" t="s">
        <v>25</v>
      </c>
      <c r="X13" s="269"/>
      <c r="Y13" s="270"/>
      <c r="Z13" s="270"/>
      <c r="AA13" s="270"/>
      <c r="AB13" s="189"/>
      <c r="AC13" s="236"/>
      <c r="AF13" s="271">
        <f t="shared" si="73"/>
        <v>7</v>
      </c>
      <c r="AG13" s="816" t="s">
        <v>187</v>
      </c>
      <c r="AH13" s="818">
        <f>IH26/AH11</f>
        <v>20.884539615581581</v>
      </c>
      <c r="AI13" s="818">
        <f>IJ26/AI11</f>
        <v>20.908056285798974</v>
      </c>
      <c r="AJ13" s="818">
        <f>IL26/AJ11</f>
        <v>31.509468342655907</v>
      </c>
      <c r="AL13" s="299"/>
      <c r="AN13" s="222">
        <v>8</v>
      </c>
      <c r="AO13" s="18"/>
      <c r="AQ13" s="660" t="s">
        <v>46</v>
      </c>
      <c r="AR13" s="791"/>
      <c r="AS13" s="821">
        <v>12784699.6164</v>
      </c>
      <c r="AT13" s="822">
        <v>1.2467034624748656</v>
      </c>
      <c r="AU13" s="783"/>
      <c r="AV13" s="821">
        <v>13940512.122199997</v>
      </c>
      <c r="AW13" s="822">
        <v>1.2917708159017343</v>
      </c>
      <c r="AX13" s="823">
        <f t="shared" ref="AX13:AX20" si="87">AW13/AT13-1</f>
        <v>3.6149216540559026E-2</v>
      </c>
      <c r="AY13" s="783"/>
      <c r="AZ13" s="821">
        <v>16686157.735618668</v>
      </c>
      <c r="BA13" s="822">
        <v>1.2933634349589591</v>
      </c>
      <c r="BB13" s="823">
        <f t="shared" ref="BB13:BB20" si="88">BA13/AW13-1</f>
        <v>1.2328959886844792E-3</v>
      </c>
      <c r="BC13" s="783"/>
      <c r="BD13" s="821">
        <v>19121063.134010617</v>
      </c>
      <c r="BE13" s="822">
        <v>1.3002123037527811</v>
      </c>
      <c r="BF13" s="823">
        <f t="shared" ref="BF13:BF20" si="89">BE13/BA13-1</f>
        <v>5.2953938612307905E-3</v>
      </c>
      <c r="BG13" s="783"/>
      <c r="BH13" s="821">
        <v>21345531.913160004</v>
      </c>
      <c r="BI13" s="822">
        <v>1.4046426840756656</v>
      </c>
      <c r="BJ13" s="823">
        <f t="shared" ref="BJ13:BJ20" si="90">BI13/BE13-1</f>
        <v>8.0317945016724401E-2</v>
      </c>
      <c r="BK13" s="783"/>
      <c r="BL13" s="821">
        <v>23918047.727200001</v>
      </c>
      <c r="BM13" s="822">
        <v>1.4218898216681388</v>
      </c>
      <c r="BN13" s="823">
        <f t="shared" ref="BN13:BN20" si="91">BM13/BI13-1</f>
        <v>1.2278665448517856E-2</v>
      </c>
      <c r="BO13" s="783"/>
      <c r="BP13" s="821">
        <v>28535397.766300008</v>
      </c>
      <c r="BQ13" s="822">
        <v>1.5384698585450844</v>
      </c>
      <c r="BR13" s="823">
        <f t="shared" ref="BR13:BR20" si="92">BQ13/BM13-1</f>
        <v>8.1989500944718685E-2</v>
      </c>
      <c r="BS13" s="783"/>
      <c r="BT13" s="660">
        <v>32304174</v>
      </c>
      <c r="BU13" s="660">
        <v>1.65</v>
      </c>
      <c r="BV13" s="660">
        <f t="shared" ref="BV13:BV20" si="93">BU13/BQ13-1</f>
        <v>7.2494199893125222E-2</v>
      </c>
      <c r="BW13" s="237">
        <v>36103152.515199989</v>
      </c>
      <c r="BX13" s="238">
        <v>1.8651083200592218</v>
      </c>
      <c r="BY13" s="824">
        <f t="shared" si="60"/>
        <v>0.13036867882377079</v>
      </c>
      <c r="BZ13" s="824">
        <v>36687111.743471108</v>
      </c>
      <c r="CA13" s="824">
        <v>1.7984785294214409</v>
      </c>
      <c r="CB13" s="824">
        <f t="shared" si="61"/>
        <v>-3.5724354409434667E-2</v>
      </c>
      <c r="CC13" s="956">
        <v>37593268.407299995</v>
      </c>
      <c r="CD13" s="956">
        <v>1.8087697778034015</v>
      </c>
      <c r="CE13" s="723">
        <f>CD13/CA13-1</f>
        <v>5.722196964603965E-3</v>
      </c>
      <c r="CF13" s="792">
        <f t="shared" ref="CF13:CG16" si="94">F14</f>
        <v>38001297.827399999</v>
      </c>
      <c r="CG13" s="824">
        <f t="shared" si="94"/>
        <v>1.8264813004078884</v>
      </c>
      <c r="CH13" s="723">
        <f t="shared" ref="CH13:CH20" si="95">CG13/CD13-1</f>
        <v>9.7920270571947299E-3</v>
      </c>
      <c r="CI13" s="825">
        <f t="shared" si="63"/>
        <v>1.9724044340199098</v>
      </c>
      <c r="CJ13" s="723">
        <f t="shared" ref="CJ13:CJ23" si="96">(CI13+1)^(1/(2022-2004))-1</f>
        <v>6.2389506119690852E-2</v>
      </c>
      <c r="DD13" s="12"/>
      <c r="DN13" s="12"/>
      <c r="DU13" s="12"/>
      <c r="DV13" s="12"/>
      <c r="DW13" s="12"/>
      <c r="DX13" s="12"/>
      <c r="DY13" s="12"/>
      <c r="EE13" s="264"/>
      <c r="EQ13" s="16"/>
      <c r="ER13" s="266"/>
      <c r="FG13" s="16"/>
      <c r="FH13" s="266"/>
      <c r="FJ13" s="222">
        <f t="shared" si="78"/>
        <v>8</v>
      </c>
      <c r="FK13" s="242"/>
      <c r="FL13" s="877" t="s">
        <v>210</v>
      </c>
      <c r="FM13" s="650">
        <v>287774.28249999997</v>
      </c>
      <c r="FN13" s="650">
        <v>432005.11000000004</v>
      </c>
      <c r="FO13" s="650">
        <v>632877.02193000005</v>
      </c>
      <c r="FP13" s="794">
        <f t="shared" si="21"/>
        <v>1352656.4144300001</v>
      </c>
      <c r="FQ13" s="650">
        <v>289211.55522727268</v>
      </c>
      <c r="FR13" s="650">
        <v>432005.11000000004</v>
      </c>
      <c r="FS13" s="650">
        <v>644764.52193000005</v>
      </c>
      <c r="FT13" s="650">
        <v>1365981.1871572728</v>
      </c>
      <c r="FU13" s="955">
        <v>1365981.1871572728</v>
      </c>
      <c r="FV13" s="16"/>
      <c r="FW13" s="266"/>
      <c r="GJ13" s="203"/>
      <c r="GZ13" s="222">
        <v>8</v>
      </c>
      <c r="HA13" s="663">
        <v>8</v>
      </c>
      <c r="HB13" s="663">
        <v>10</v>
      </c>
      <c r="HC13" s="663">
        <v>10</v>
      </c>
      <c r="HD13" s="682">
        <v>43550832</v>
      </c>
      <c r="HE13" s="682">
        <v>44757820</v>
      </c>
      <c r="HF13" s="724">
        <f t="shared" si="22"/>
        <v>1</v>
      </c>
      <c r="HG13" s="724">
        <f t="shared" si="23"/>
        <v>1.0277144647890999</v>
      </c>
      <c r="HH13" s="723">
        <v>1</v>
      </c>
      <c r="HI13" s="723">
        <v>0</v>
      </c>
      <c r="HJ13" s="723">
        <v>0</v>
      </c>
      <c r="HN13" s="243">
        <v>8</v>
      </c>
      <c r="HO13" s="891">
        <v>8</v>
      </c>
      <c r="HP13" s="793">
        <f t="shared" si="2"/>
        <v>1.0277144647890999</v>
      </c>
      <c r="HQ13" s="650">
        <v>0</v>
      </c>
      <c r="HR13" s="794">
        <f t="shared" si="24"/>
        <v>0</v>
      </c>
      <c r="HS13" s="650">
        <v>4712143</v>
      </c>
      <c r="HT13" s="975">
        <v>4843043</v>
      </c>
      <c r="HU13" s="650">
        <v>2193241.5596000003</v>
      </c>
      <c r="HV13" s="975">
        <v>2385075</v>
      </c>
      <c r="HW13" s="650">
        <v>225000</v>
      </c>
      <c r="HX13" s="955">
        <v>225000</v>
      </c>
      <c r="HY13" s="650">
        <f t="shared" si="25"/>
        <v>2418241.5596000003</v>
      </c>
      <c r="HZ13" s="650">
        <f t="shared" si="25"/>
        <v>2610075</v>
      </c>
      <c r="IA13" s="206"/>
      <c r="IB13" s="207"/>
      <c r="IC13" s="206"/>
      <c r="ID13" s="244">
        <v>8</v>
      </c>
      <c r="IE13" s="891">
        <v>8</v>
      </c>
      <c r="IF13" s="899">
        <f t="shared" si="3"/>
        <v>1</v>
      </c>
      <c r="IG13" s="900">
        <f t="shared" si="3"/>
        <v>1.0277144647890999</v>
      </c>
      <c r="IH13" s="955">
        <v>669480.85743452248</v>
      </c>
      <c r="II13" s="794">
        <f t="shared" si="64"/>
        <v>688035.1610848679</v>
      </c>
      <c r="IJ13" s="955">
        <v>51713</v>
      </c>
      <c r="IK13" s="794">
        <f>IJ13*$IG13</f>
        <v>53146.19811763872</v>
      </c>
      <c r="IL13" s="955">
        <v>554229.39256547752</v>
      </c>
      <c r="IM13" s="794">
        <f t="shared" si="82"/>
        <v>554229.39256547752</v>
      </c>
      <c r="IN13" s="955">
        <v>529630.91050901939</v>
      </c>
      <c r="IO13" s="995">
        <v>529630.91050901939</v>
      </c>
      <c r="IP13" s="955">
        <v>32619.339000000007</v>
      </c>
      <c r="IQ13" s="794">
        <f t="shared" si="27"/>
        <v>33523.366522159224</v>
      </c>
      <c r="IR13" s="955">
        <v>100134.73700000002</v>
      </c>
      <c r="IS13" s="794">
        <f t="shared" si="28"/>
        <v>102909.91764275231</v>
      </c>
      <c r="IT13" s="955">
        <v>14399.843999999999</v>
      </c>
      <c r="IU13" s="794">
        <f t="shared" si="29"/>
        <v>14798.927969506531</v>
      </c>
      <c r="IV13" s="955">
        <v>322924.64970000001</v>
      </c>
      <c r="IW13" s="794">
        <f t="shared" si="30"/>
        <v>331874.3335336431</v>
      </c>
      <c r="IX13" s="650">
        <f t="shared" si="31"/>
        <v>2275132.7302090195</v>
      </c>
      <c r="IY13" s="650">
        <f t="shared" si="31"/>
        <v>2308148.2079450646</v>
      </c>
      <c r="IZ13" s="683">
        <f t="shared" si="4"/>
        <v>5.1569719167400576</v>
      </c>
      <c r="JD13" s="222">
        <v>8</v>
      </c>
      <c r="JE13" s="663">
        <v>8</v>
      </c>
      <c r="JF13" s="660">
        <f t="shared" si="5"/>
        <v>10</v>
      </c>
      <c r="JG13" s="660">
        <f t="shared" si="32"/>
        <v>10</v>
      </c>
      <c r="JH13" s="905">
        <f t="shared" si="6"/>
        <v>44757820</v>
      </c>
      <c r="JI13" s="905">
        <f t="shared" si="83"/>
        <v>44575482.905068681</v>
      </c>
      <c r="JJ13" s="906">
        <f t="shared" si="33"/>
        <v>1</v>
      </c>
      <c r="JK13" s="906">
        <f t="shared" si="34"/>
        <v>0.99592613994758195</v>
      </c>
      <c r="JL13" s="906">
        <f t="shared" si="35"/>
        <v>1.0329765912700186</v>
      </c>
      <c r="JM13" s="663" t="s">
        <v>424</v>
      </c>
      <c r="JN13" s="209"/>
      <c r="JO13" s="210"/>
      <c r="JP13" s="209"/>
      <c r="JQ13" s="222">
        <v>8</v>
      </c>
      <c r="JR13" s="663">
        <v>8</v>
      </c>
      <c r="JS13" s="914" t="str">
        <f t="shared" si="7"/>
        <v>Q4</v>
      </c>
      <c r="JT13" s="913">
        <f t="shared" si="8"/>
        <v>1.0329765912700186</v>
      </c>
      <c r="JU13" s="671">
        <f t="shared" si="36"/>
        <v>0</v>
      </c>
      <c r="JV13" s="671">
        <f t="shared" si="37"/>
        <v>0</v>
      </c>
      <c r="JW13" s="671">
        <f t="shared" si="9"/>
        <v>4843043</v>
      </c>
      <c r="JX13" s="671">
        <f t="shared" si="38"/>
        <v>4918062.3352532545</v>
      </c>
      <c r="JY13" s="671">
        <f t="shared" si="10"/>
        <v>2385075</v>
      </c>
      <c r="JZ13" s="671">
        <f t="shared" si="11"/>
        <v>2208297.4630436986</v>
      </c>
      <c r="KA13" s="671">
        <f t="shared" si="39"/>
        <v>225000</v>
      </c>
      <c r="KB13" s="671">
        <f t="shared" si="40"/>
        <v>96889.145222078689</v>
      </c>
      <c r="KC13" s="671">
        <f t="shared" si="41"/>
        <v>2610075</v>
      </c>
      <c r="KD13" s="671">
        <f t="shared" si="41"/>
        <v>2305186.6082657771</v>
      </c>
      <c r="KE13" s="211"/>
      <c r="KF13" s="210"/>
      <c r="KG13" s="209"/>
      <c r="KH13" s="245">
        <f t="shared" si="65"/>
        <v>8</v>
      </c>
      <c r="KI13" s="917">
        <v>7</v>
      </c>
      <c r="KJ13" s="918">
        <f t="shared" si="66"/>
        <v>1</v>
      </c>
      <c r="KK13" s="918">
        <f t="shared" si="66"/>
        <v>0.99592613994758195</v>
      </c>
      <c r="KL13" s="898">
        <v>1.6626666699999999</v>
      </c>
      <c r="KM13" s="801">
        <f t="shared" si="67"/>
        <v>866351.9935656829</v>
      </c>
      <c r="KN13" s="898">
        <v>1.6626666699999999</v>
      </c>
      <c r="KO13" s="801">
        <f t="shared" si="42"/>
        <v>106116.00243018876</v>
      </c>
      <c r="KP13" s="898">
        <v>1.6626666699999999</v>
      </c>
      <c r="KQ13" s="801">
        <f t="shared" si="43"/>
        <v>526183.7318615996</v>
      </c>
      <c r="KR13" s="898">
        <v>1.6626666699999999</v>
      </c>
      <c r="KS13" s="801">
        <f t="shared" si="68"/>
        <v>694521.54809798126</v>
      </c>
      <c r="KT13" s="898">
        <v>1.6626666699999999</v>
      </c>
      <c r="KU13" s="801">
        <f t="shared" si="44"/>
        <v>216508.51233282723</v>
      </c>
      <c r="KV13" s="898">
        <v>1.6626666699999999</v>
      </c>
      <c r="KW13" s="801">
        <f t="shared" si="45"/>
        <v>80764.122132113</v>
      </c>
      <c r="KX13" s="898">
        <v>1.6626666699999999</v>
      </c>
      <c r="KY13" s="801">
        <f t="shared" si="46"/>
        <v>72811.545618112534</v>
      </c>
      <c r="KZ13" s="898">
        <v>1.6626666699999999</v>
      </c>
      <c r="LA13" s="919">
        <f t="shared" si="47"/>
        <v>266445.2793479031</v>
      </c>
      <c r="LB13" s="646">
        <f t="shared" si="48"/>
        <v>2753052.5518501359</v>
      </c>
      <c r="LC13" s="646">
        <f t="shared" si="79"/>
        <v>2829702.7353864089</v>
      </c>
      <c r="LD13" s="16"/>
      <c r="LE13" s="220"/>
      <c r="LG13" s="222">
        <v>8</v>
      </c>
      <c r="LH13" s="922">
        <v>8</v>
      </c>
      <c r="LI13" s="650">
        <f t="shared" si="12"/>
        <v>2418241.5596000003</v>
      </c>
      <c r="LJ13" s="650">
        <f t="shared" si="12"/>
        <v>2610075</v>
      </c>
      <c r="LK13" s="794">
        <f t="shared" si="13"/>
        <v>2305186.6082657771</v>
      </c>
      <c r="LL13" s="650">
        <f t="shared" si="14"/>
        <v>2275132.7302090195</v>
      </c>
      <c r="LM13" s="650">
        <f t="shared" si="14"/>
        <v>2308148.2079450646</v>
      </c>
      <c r="LN13" s="794">
        <f t="shared" si="49"/>
        <v>2384263.0679890951</v>
      </c>
      <c r="LO13" s="650">
        <f t="shared" si="50"/>
        <v>143108.82939098077</v>
      </c>
      <c r="LP13" s="650">
        <f t="shared" si="50"/>
        <v>301926.79205493536</v>
      </c>
      <c r="LQ13" s="650">
        <f t="shared" si="50"/>
        <v>-79076.459723317996</v>
      </c>
      <c r="LU13" s="222">
        <f t="shared" si="69"/>
        <v>8</v>
      </c>
      <c r="LV13" s="927" t="s">
        <v>211</v>
      </c>
      <c r="LW13" s="309">
        <f>LW12-LW9</f>
        <v>19979835.239455521</v>
      </c>
      <c r="MA13" s="192">
        <f t="shared" si="80"/>
        <v>7</v>
      </c>
      <c r="MB13" s="194" t="s">
        <v>207</v>
      </c>
      <c r="MC13" s="197"/>
      <c r="MD13" s="246"/>
      <c r="ME13" s="29"/>
      <c r="MF13" s="247"/>
      <c r="MG13" s="246"/>
      <c r="MK13" s="192">
        <f t="shared" si="81"/>
        <v>7</v>
      </c>
      <c r="ML13" s="194" t="str">
        <f t="shared" si="53"/>
        <v>Expenses</v>
      </c>
      <c r="MM13" s="249"/>
      <c r="MN13" s="197"/>
      <c r="MO13" s="197"/>
      <c r="MP13" s="261"/>
    </row>
    <row r="14" spans="1:405" s="29" customFormat="1" ht="16.5" x14ac:dyDescent="0.3">
      <c r="B14" s="181">
        <f t="shared" si="72"/>
        <v>9</v>
      </c>
      <c r="C14" s="251"/>
      <c r="D14" s="796" t="s">
        <v>46</v>
      </c>
      <c r="E14" s="797"/>
      <c r="F14" s="798">
        <f>CS9</f>
        <v>38001297.827399999</v>
      </c>
      <c r="G14" s="799">
        <f t="shared" ref="G14:G22" si="97">F14/F$24*100</f>
        <v>1.8264813004078884</v>
      </c>
      <c r="H14" s="798">
        <f>CW9</f>
        <v>36813199.8476827</v>
      </c>
      <c r="I14" s="800">
        <f t="shared" ref="I14:I22" si="98">H14/H$24*100</f>
        <v>1.7601081809735752</v>
      </c>
      <c r="J14" s="801">
        <f t="shared" si="54"/>
        <v>-1188097.9797172993</v>
      </c>
      <c r="K14" s="798">
        <f>II26</f>
        <v>38759425.026482746</v>
      </c>
      <c r="L14" s="800">
        <f t="shared" ref="L14:L22" si="99">K14/K$24*100</f>
        <v>1.7665527038445854</v>
      </c>
      <c r="M14" s="801">
        <f t="shared" si="55"/>
        <v>1946225.1788000464</v>
      </c>
      <c r="N14" s="798">
        <f>KM27</f>
        <v>39907140.559386715</v>
      </c>
      <c r="O14" s="800">
        <f t="shared" ref="O14:O22" si="100">N14/N$24*100</f>
        <v>1.8263026622357386</v>
      </c>
      <c r="P14" s="801">
        <f t="shared" si="56"/>
        <v>1147715.5329039693</v>
      </c>
      <c r="Q14" s="798">
        <f t="shared" si="57"/>
        <v>1905842.7319867164</v>
      </c>
      <c r="R14" s="802">
        <f t="shared" si="58"/>
        <v>-9.7804544787805092E-5</v>
      </c>
      <c r="S14" s="12"/>
      <c r="T14" s="13"/>
      <c r="U14" s="12"/>
      <c r="V14" s="165">
        <f>V12+1</f>
        <v>6</v>
      </c>
      <c r="W14" s="805" t="s">
        <v>172</v>
      </c>
      <c r="X14" s="650">
        <f>SUMPRODUCT($LP$6:$LP$25,HH6:HH25)</f>
        <v>20160.815973906778</v>
      </c>
      <c r="Y14" s="650">
        <f>SUMPRODUCT($LP$6:$LP$25,HI6:HI25)</f>
        <v>6169011.8022504635</v>
      </c>
      <c r="Z14" s="650">
        <f>SUMPRODUCT($LP$6:$LP$25,HJ6:HJ25)</f>
        <v>16392300.707405737</v>
      </c>
      <c r="AA14" s="650">
        <f>SUM(X14:Z14)</f>
        <v>22581473.325630106</v>
      </c>
      <c r="AB14" s="230" t="s">
        <v>430</v>
      </c>
      <c r="AC14" s="12"/>
      <c r="AD14" s="13"/>
      <c r="AE14" s="12"/>
      <c r="AF14" s="252">
        <f t="shared" si="73"/>
        <v>8</v>
      </c>
      <c r="AG14" s="191" t="s">
        <v>25</v>
      </c>
      <c r="AK14" s="12"/>
      <c r="AL14" s="299"/>
      <c r="AM14" s="12"/>
      <c r="AN14" s="192">
        <v>9</v>
      </c>
      <c r="AO14" s="254"/>
      <c r="AQ14" s="796" t="s">
        <v>212</v>
      </c>
      <c r="AR14" s="797"/>
      <c r="AS14" s="827">
        <v>936011.74</v>
      </c>
      <c r="AT14" s="828">
        <v>9.1275439563570718E-2</v>
      </c>
      <c r="AU14" s="829"/>
      <c r="AV14" s="827">
        <v>1523068.1600000001</v>
      </c>
      <c r="AW14" s="828">
        <v>0.14113218958319465</v>
      </c>
      <c r="AX14" s="830">
        <f t="shared" si="87"/>
        <v>0.54622306129679221</v>
      </c>
      <c r="AY14" s="829"/>
      <c r="AZ14" s="827">
        <v>2211207.06</v>
      </c>
      <c r="BA14" s="828">
        <v>0.17139322328365042</v>
      </c>
      <c r="BB14" s="830">
        <f t="shared" si="88"/>
        <v>0.2144162418922686</v>
      </c>
      <c r="BC14" s="829"/>
      <c r="BD14" s="827">
        <v>2871478.9273906099</v>
      </c>
      <c r="BE14" s="828">
        <v>0.19525756518837487</v>
      </c>
      <c r="BF14" s="830">
        <f t="shared" si="89"/>
        <v>0.13923737151048088</v>
      </c>
      <c r="BG14" s="829"/>
      <c r="BH14" s="827">
        <v>3068616.0090000001</v>
      </c>
      <c r="BI14" s="828">
        <v>0.20193027022305846</v>
      </c>
      <c r="BJ14" s="830">
        <f t="shared" si="90"/>
        <v>3.4173861731022326E-2</v>
      </c>
      <c r="BK14" s="829"/>
      <c r="BL14" s="827">
        <v>3403828.76</v>
      </c>
      <c r="BM14" s="828">
        <v>0.20235219545286309</v>
      </c>
      <c r="BN14" s="830">
        <f t="shared" si="91"/>
        <v>2.0894600365688465E-3</v>
      </c>
      <c r="BO14" s="829"/>
      <c r="BP14" s="827">
        <v>4538272.1100000003</v>
      </c>
      <c r="BQ14" s="828">
        <v>0.24467837835281422</v>
      </c>
      <c r="BR14" s="830">
        <f t="shared" si="92"/>
        <v>0.20917086076197666</v>
      </c>
      <c r="BS14" s="829"/>
      <c r="BT14" s="796">
        <v>5378012</v>
      </c>
      <c r="BU14" s="796">
        <v>0.27</v>
      </c>
      <c r="BV14" s="796">
        <f t="shared" si="93"/>
        <v>0.10348941258174138</v>
      </c>
      <c r="BW14" s="258">
        <v>1768561.8457999995</v>
      </c>
      <c r="BX14" s="259">
        <v>9.1364858283556505E-2</v>
      </c>
      <c r="BY14" s="831">
        <f t="shared" si="60"/>
        <v>-0.66161163598682782</v>
      </c>
      <c r="BZ14" s="831">
        <v>1718931.8145400002</v>
      </c>
      <c r="CA14" s="831">
        <v>8.4265613047061122E-2</v>
      </c>
      <c r="CB14" s="831">
        <f t="shared" si="61"/>
        <v>-7.7702142485269743E-2</v>
      </c>
      <c r="CC14" s="956">
        <v>2147244.1196499998</v>
      </c>
      <c r="CD14" s="956">
        <v>0.10331291834244472</v>
      </c>
      <c r="CE14" s="802">
        <f t="shared" ref="CE14:CE20" si="101">CD14/CA14-1</f>
        <v>0.22603888593020671</v>
      </c>
      <c r="CF14" s="798">
        <f t="shared" si="94"/>
        <v>1804966.5518499999</v>
      </c>
      <c r="CG14" s="831">
        <f t="shared" si="94"/>
        <v>8.6753291158353285E-2</v>
      </c>
      <c r="CH14" s="802">
        <f t="shared" si="95"/>
        <v>-0.16028612345652937</v>
      </c>
      <c r="CI14" s="832">
        <f t="shared" si="63"/>
        <v>0.92835888132129618</v>
      </c>
      <c r="CJ14" s="802">
        <f t="shared" si="96"/>
        <v>3.7155250184706556E-2</v>
      </c>
      <c r="CK14" s="12"/>
      <c r="CL14" s="13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3"/>
      <c r="CZ14" s="12"/>
      <c r="DA14" s="12"/>
      <c r="DB14" s="12"/>
      <c r="DC14" s="12"/>
      <c r="DD14" s="12"/>
      <c r="DE14" s="12"/>
      <c r="DF14" s="12"/>
      <c r="DG14" s="12"/>
      <c r="DH14" s="12"/>
      <c r="DI14" s="13"/>
      <c r="DJ14" s="12"/>
      <c r="DK14" s="12"/>
      <c r="DL14" s="12"/>
      <c r="DM14" s="12"/>
      <c r="DN14" s="12"/>
      <c r="DO14" s="12"/>
      <c r="DP14" s="12"/>
      <c r="DQ14" s="12"/>
      <c r="DR14" s="13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3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6"/>
      <c r="ER14" s="266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6"/>
      <c r="FH14" s="266"/>
      <c r="FI14" s="12"/>
      <c r="FJ14" s="192">
        <f t="shared" si="78"/>
        <v>9</v>
      </c>
      <c r="FK14" s="265"/>
      <c r="FL14" s="878" t="s">
        <v>213</v>
      </c>
      <c r="FM14" s="860">
        <v>2536</v>
      </c>
      <c r="FN14" s="860">
        <v>11058.939999999999</v>
      </c>
      <c r="FO14" s="860">
        <v>30774.82</v>
      </c>
      <c r="FP14" s="801">
        <f t="shared" si="21"/>
        <v>44369.759999999995</v>
      </c>
      <c r="FQ14" s="860">
        <v>2536</v>
      </c>
      <c r="FR14" s="860">
        <v>11058.939999999999</v>
      </c>
      <c r="FS14" s="860">
        <v>30774.82</v>
      </c>
      <c r="FT14" s="860">
        <v>44369.759999999995</v>
      </c>
      <c r="FU14" s="955">
        <v>44369.759999999995</v>
      </c>
      <c r="FV14" s="16"/>
      <c r="FW14" s="266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5"/>
      <c r="GJ14" s="266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290"/>
      <c r="GX14" s="12"/>
      <c r="GY14" s="12"/>
      <c r="GZ14" s="192">
        <v>9</v>
      </c>
      <c r="HA14" s="886">
        <v>9</v>
      </c>
      <c r="HB14" s="886">
        <v>11</v>
      </c>
      <c r="HC14" s="886">
        <v>11</v>
      </c>
      <c r="HD14" s="887">
        <v>57378324</v>
      </c>
      <c r="HE14" s="887">
        <v>59003223</v>
      </c>
      <c r="HF14" s="800">
        <f t="shared" si="22"/>
        <v>1</v>
      </c>
      <c r="HG14" s="800">
        <f t="shared" si="23"/>
        <v>1.0283190390852128</v>
      </c>
      <c r="HH14" s="802">
        <v>1</v>
      </c>
      <c r="HI14" s="802">
        <v>0</v>
      </c>
      <c r="HJ14" s="802">
        <v>0</v>
      </c>
      <c r="HK14" s="12"/>
      <c r="HL14" s="13"/>
      <c r="HM14" s="12"/>
      <c r="HN14" s="267">
        <v>9</v>
      </c>
      <c r="HO14" s="892">
        <v>9</v>
      </c>
      <c r="HP14" s="799">
        <f t="shared" si="2"/>
        <v>1.0283190390852128</v>
      </c>
      <c r="HQ14" s="860">
        <v>0</v>
      </c>
      <c r="HR14" s="801">
        <f t="shared" si="24"/>
        <v>0</v>
      </c>
      <c r="HS14" s="860">
        <v>6247804</v>
      </c>
      <c r="HT14" s="975">
        <v>6429726</v>
      </c>
      <c r="HU14" s="860">
        <v>2769420.5663999999</v>
      </c>
      <c r="HV14" s="975">
        <v>3218850</v>
      </c>
      <c r="HW14" s="860">
        <v>247500</v>
      </c>
      <c r="HX14" s="955">
        <v>247500</v>
      </c>
      <c r="HY14" s="860">
        <f t="shared" si="25"/>
        <v>3016920.5663999999</v>
      </c>
      <c r="HZ14" s="860">
        <f t="shared" si="25"/>
        <v>3466350</v>
      </c>
      <c r="IA14" s="206"/>
      <c r="IB14" s="207"/>
      <c r="IC14" s="206"/>
      <c r="ID14" s="208">
        <v>9</v>
      </c>
      <c r="IE14" s="892">
        <v>9</v>
      </c>
      <c r="IF14" s="896">
        <f t="shared" si="3"/>
        <v>1</v>
      </c>
      <c r="IG14" s="897">
        <f t="shared" si="3"/>
        <v>1.0283190390852128</v>
      </c>
      <c r="IH14" s="955">
        <v>785780.35668281571</v>
      </c>
      <c r="II14" s="801">
        <f t="shared" si="64"/>
        <v>808032.90131610888</v>
      </c>
      <c r="IJ14" s="955">
        <v>102327.17</v>
      </c>
      <c r="IK14" s="801">
        <f t="shared" si="26"/>
        <v>105224.97712670921</v>
      </c>
      <c r="IL14" s="955">
        <v>563972.59331718413</v>
      </c>
      <c r="IM14" s="801">
        <f t="shared" si="82"/>
        <v>563972.59331718413</v>
      </c>
      <c r="IN14" s="955">
        <v>665395.07612386486</v>
      </c>
      <c r="IO14" s="995">
        <v>665395.07612386486</v>
      </c>
      <c r="IP14" s="955">
        <v>66175.421999999991</v>
      </c>
      <c r="IQ14" s="801">
        <f t="shared" si="27"/>
        <v>68049.446362098446</v>
      </c>
      <c r="IR14" s="955">
        <v>70327.29800000001</v>
      </c>
      <c r="IS14" s="801">
        <f t="shared" si="28"/>
        <v>72318.899500819418</v>
      </c>
      <c r="IT14" s="955">
        <v>69709.170000000013</v>
      </c>
      <c r="IU14" s="801">
        <f t="shared" si="29"/>
        <v>71683.26670982776</v>
      </c>
      <c r="IV14" s="955">
        <v>823991.9706</v>
      </c>
      <c r="IW14" s="801">
        <f t="shared" si="30"/>
        <v>847326.63142132293</v>
      </c>
      <c r="IX14" s="860">
        <f t="shared" si="31"/>
        <v>3147679.0567238643</v>
      </c>
      <c r="IY14" s="860">
        <f t="shared" si="31"/>
        <v>3202003.7918779361</v>
      </c>
      <c r="IZ14" s="898">
        <f t="shared" si="4"/>
        <v>5.4268286189687229</v>
      </c>
      <c r="JA14" s="12"/>
      <c r="JB14" s="13"/>
      <c r="JC14" s="12"/>
      <c r="JD14" s="192">
        <v>9</v>
      </c>
      <c r="JE14" s="886">
        <v>9</v>
      </c>
      <c r="JF14" s="796">
        <f t="shared" si="5"/>
        <v>11</v>
      </c>
      <c r="JG14" s="796">
        <f t="shared" si="32"/>
        <v>11</v>
      </c>
      <c r="JH14" s="859">
        <f t="shared" si="6"/>
        <v>59003223</v>
      </c>
      <c r="JI14" s="859">
        <f t="shared" si="83"/>
        <v>58762852.126856387</v>
      </c>
      <c r="JJ14" s="904">
        <f t="shared" si="33"/>
        <v>1</v>
      </c>
      <c r="JK14" s="904">
        <f t="shared" si="34"/>
        <v>0.99592613994758195</v>
      </c>
      <c r="JL14" s="904">
        <f t="shared" si="35"/>
        <v>1.0276469292570241</v>
      </c>
      <c r="JM14" s="886" t="s">
        <v>238</v>
      </c>
      <c r="JN14" s="209"/>
      <c r="JO14" s="210"/>
      <c r="JP14" s="209"/>
      <c r="JQ14" s="192">
        <v>9</v>
      </c>
      <c r="JR14" s="886">
        <v>9</v>
      </c>
      <c r="JS14" s="910" t="str">
        <f t="shared" si="7"/>
        <v>Q3</v>
      </c>
      <c r="JT14" s="911">
        <f t="shared" si="8"/>
        <v>1.0276469292570241</v>
      </c>
      <c r="JU14" s="860">
        <f t="shared" si="36"/>
        <v>0</v>
      </c>
      <c r="JV14" s="860">
        <f t="shared" si="37"/>
        <v>0</v>
      </c>
      <c r="JW14" s="860">
        <f t="shared" si="9"/>
        <v>6429726</v>
      </c>
      <c r="JX14" s="860">
        <f t="shared" si="38"/>
        <v>6483370.474586308</v>
      </c>
      <c r="JY14" s="860">
        <f t="shared" si="10"/>
        <v>3218850</v>
      </c>
      <c r="JZ14" s="860">
        <f t="shared" si="11"/>
        <v>2911148.6587662585</v>
      </c>
      <c r="KA14" s="860">
        <f t="shared" si="39"/>
        <v>247500</v>
      </c>
      <c r="KB14" s="860">
        <f t="shared" si="40"/>
        <v>127726.77136236065</v>
      </c>
      <c r="KC14" s="860">
        <f t="shared" si="41"/>
        <v>3466350</v>
      </c>
      <c r="KD14" s="860">
        <f t="shared" si="41"/>
        <v>3038875.4301286191</v>
      </c>
      <c r="KE14" s="211"/>
      <c r="KF14" s="210"/>
      <c r="KG14" s="209"/>
      <c r="KH14" s="243">
        <f t="shared" si="65"/>
        <v>9</v>
      </c>
      <c r="KI14" s="891">
        <v>8</v>
      </c>
      <c r="KJ14" s="920">
        <f t="shared" si="66"/>
        <v>1</v>
      </c>
      <c r="KK14" s="920">
        <f t="shared" si="66"/>
        <v>0.99592613994758195</v>
      </c>
      <c r="KL14" s="683">
        <v>1.6546666699999999</v>
      </c>
      <c r="KM14" s="794">
        <f t="shared" si="67"/>
        <v>709361.65328437672</v>
      </c>
      <c r="KN14" s="683">
        <v>1.6546666699999999</v>
      </c>
      <c r="KO14" s="794">
        <f t="shared" si="42"/>
        <v>54793.529596748354</v>
      </c>
      <c r="KP14" s="683">
        <v>1.6546666699999999</v>
      </c>
      <c r="KQ14" s="794">
        <f t="shared" si="43"/>
        <v>573745.77112461848</v>
      </c>
      <c r="KR14" s="683">
        <v>1.6546666699999999</v>
      </c>
      <c r="KS14" s="794">
        <f t="shared" si="68"/>
        <v>548281.08945075667</v>
      </c>
      <c r="KT14" s="683">
        <v>1.6546666699999999</v>
      </c>
      <c r="KU14" s="794">
        <f t="shared" si="44"/>
        <v>34562.464311157128</v>
      </c>
      <c r="KV14" s="683">
        <v>1.6546666699999999</v>
      </c>
      <c r="KW14" s="794">
        <f t="shared" si="45"/>
        <v>106099.73653572824</v>
      </c>
      <c r="KX14" s="683">
        <v>1.6546666699999999</v>
      </c>
      <c r="KY14" s="794">
        <f t="shared" si="46"/>
        <v>15257.638860684146</v>
      </c>
      <c r="KZ14" s="683">
        <v>1.6546666699999999</v>
      </c>
      <c r="LA14" s="794">
        <f t="shared" si="47"/>
        <v>342161.18482502562</v>
      </c>
      <c r="LB14" s="650">
        <f t="shared" si="48"/>
        <v>2308148.2079450646</v>
      </c>
      <c r="LC14" s="650">
        <f t="shared" si="79"/>
        <v>2384263.0679890951</v>
      </c>
      <c r="LD14" s="16"/>
      <c r="LE14" s="220"/>
      <c r="LF14" s="12"/>
      <c r="LG14" s="192">
        <v>9</v>
      </c>
      <c r="LH14" s="921">
        <v>9</v>
      </c>
      <c r="LI14" s="860">
        <f t="shared" si="12"/>
        <v>3016920.5663999999</v>
      </c>
      <c r="LJ14" s="860">
        <f t="shared" si="12"/>
        <v>3466350</v>
      </c>
      <c r="LK14" s="801">
        <f t="shared" si="13"/>
        <v>3038875.4301286191</v>
      </c>
      <c r="LL14" s="860">
        <f t="shared" si="14"/>
        <v>3147679.0567238643</v>
      </c>
      <c r="LM14" s="860">
        <f t="shared" si="14"/>
        <v>3202003.7918779361</v>
      </c>
      <c r="LN14" s="801">
        <f t="shared" si="49"/>
        <v>3290529.3641927079</v>
      </c>
      <c r="LO14" s="860">
        <f t="shared" si="50"/>
        <v>-130758.49032386439</v>
      </c>
      <c r="LP14" s="860">
        <f t="shared" si="50"/>
        <v>264346.20812206389</v>
      </c>
      <c r="LQ14" s="860">
        <f t="shared" si="50"/>
        <v>-251653.93406408885</v>
      </c>
      <c r="LR14" s="12"/>
      <c r="LS14" s="13"/>
      <c r="LT14" s="12"/>
      <c r="LU14" s="5"/>
      <c r="LV14" s="12"/>
      <c r="LW14" s="12"/>
      <c r="LX14" s="12"/>
      <c r="LY14" s="13"/>
      <c r="LZ14" s="12"/>
      <c r="MA14" s="222">
        <f t="shared" si="80"/>
        <v>8</v>
      </c>
      <c r="MB14" s="812" t="s">
        <v>46</v>
      </c>
      <c r="MC14" s="650">
        <f t="shared" ref="MC14:MC21" si="102">N14</f>
        <v>39907140.559386715</v>
      </c>
      <c r="MD14" s="747">
        <f t="shared" ref="MD14:MD21" si="103">MC14/$MC$34*100</f>
        <v>1.8263026622357386</v>
      </c>
      <c r="ME14" s="660"/>
      <c r="MF14" s="792">
        <f t="shared" ref="MF14:MF20" si="104">MC14</f>
        <v>39907140.559386715</v>
      </c>
      <c r="MG14" s="747">
        <f t="shared" ref="MG14:MG21" si="105">MF14/$MG$34*100</f>
        <v>1.8263026622357386</v>
      </c>
      <c r="MH14" s="12"/>
      <c r="MI14" s="13"/>
      <c r="MJ14" s="12"/>
      <c r="MK14" s="222">
        <f t="shared" si="81"/>
        <v>8</v>
      </c>
      <c r="ML14" s="231" t="str">
        <f t="shared" si="53"/>
        <v>Direct Labour</v>
      </c>
      <c r="MM14" s="979">
        <v>33580635.97480382</v>
      </c>
      <c r="MN14" s="650">
        <f t="shared" ref="MN14:MN21" si="106">MC14</f>
        <v>39907140.559386715</v>
      </c>
      <c r="MO14" s="650">
        <f t="shared" si="70"/>
        <v>6326504.584582895</v>
      </c>
      <c r="MP14" s="823">
        <f t="shared" si="71"/>
        <v>0.18839740228058188</v>
      </c>
      <c r="MQ14" s="12"/>
      <c r="MR14" s="13"/>
      <c r="MS14" s="12"/>
    </row>
    <row r="15" spans="1:405" ht="16.5" x14ac:dyDescent="0.3">
      <c r="B15" s="143">
        <f t="shared" si="72"/>
        <v>10</v>
      </c>
      <c r="C15" s="223"/>
      <c r="D15" s="660" t="s">
        <v>47</v>
      </c>
      <c r="E15" s="791"/>
      <c r="F15" s="792">
        <f>DD9</f>
        <v>1804966.5518499999</v>
      </c>
      <c r="G15" s="793">
        <f t="shared" si="97"/>
        <v>8.6753291158353285E-2</v>
      </c>
      <c r="H15" s="792">
        <f>DG9</f>
        <v>1805841.8473045453</v>
      </c>
      <c r="I15" s="724">
        <f t="shared" si="98"/>
        <v>8.6340688180770606E-2</v>
      </c>
      <c r="J15" s="794">
        <f t="shared" si="54"/>
        <v>875.29545454541221</v>
      </c>
      <c r="K15" s="792">
        <f>IK26</f>
        <v>1927835.2228029165</v>
      </c>
      <c r="L15" s="724">
        <f t="shared" si="99"/>
        <v>8.7865661657323263E-2</v>
      </c>
      <c r="M15" s="794">
        <f t="shared" si="55"/>
        <v>121993.3754983712</v>
      </c>
      <c r="N15" s="792">
        <f>KO27</f>
        <v>1985779.5732121689</v>
      </c>
      <c r="O15" s="724">
        <f t="shared" si="100"/>
        <v>9.0876832324627635E-2</v>
      </c>
      <c r="P15" s="794">
        <f t="shared" si="56"/>
        <v>57944.350409252336</v>
      </c>
      <c r="Q15" s="792">
        <f t="shared" si="57"/>
        <v>180813.02136216895</v>
      </c>
      <c r="R15" s="723">
        <f t="shared" si="58"/>
        <v>4.7531812467466183E-2</v>
      </c>
      <c r="V15" s="252">
        <f t="shared" si="59"/>
        <v>7</v>
      </c>
      <c r="W15" s="806" t="s">
        <v>179</v>
      </c>
      <c r="X15" s="800">
        <f>X14/K$24*100</f>
        <v>9.1887699433321679E-4</v>
      </c>
      <c r="Y15" s="800">
        <f>Y14/K$24*100</f>
        <v>0.28116734115298747</v>
      </c>
      <c r="Z15" s="800">
        <f>Z14/K$24*100</f>
        <v>0.74711797497293575</v>
      </c>
      <c r="AA15" s="800">
        <f>AA14/K$24*100</f>
        <v>1.0292041931202562</v>
      </c>
      <c r="AB15" s="227"/>
      <c r="AC15" s="233"/>
      <c r="AF15" s="165">
        <f t="shared" si="73"/>
        <v>9</v>
      </c>
      <c r="AG15" s="812" t="s">
        <v>77</v>
      </c>
      <c r="AH15" s="813">
        <f>AH11*II27</f>
        <v>1855890.8043902982</v>
      </c>
      <c r="AI15" s="813">
        <f>AI11*IK27</f>
        <v>92205.377508588761</v>
      </c>
      <c r="AJ15" s="813">
        <f>AJ11*IM27</f>
        <v>590454.85823481809</v>
      </c>
      <c r="AL15" s="299"/>
      <c r="AN15" s="222">
        <v>10</v>
      </c>
      <c r="AO15" s="18"/>
      <c r="AQ15" s="660" t="s">
        <v>48</v>
      </c>
      <c r="AR15" s="791"/>
      <c r="AS15" s="821">
        <v>7353821.8799999999</v>
      </c>
      <c r="AT15" s="822">
        <v>0.71710994198556099</v>
      </c>
      <c r="AU15" s="783"/>
      <c r="AV15" s="821">
        <v>7828448.5450000018</v>
      </c>
      <c r="AW15" s="822">
        <v>0.72540816833517452</v>
      </c>
      <c r="AX15" s="823">
        <f t="shared" si="87"/>
        <v>1.1571763078109143E-2</v>
      </c>
      <c r="AY15" s="783"/>
      <c r="AZ15" s="821">
        <v>8035314.9274999993</v>
      </c>
      <c r="BA15" s="822">
        <v>0.62282657759036675</v>
      </c>
      <c r="BB15" s="823">
        <f t="shared" si="88"/>
        <v>-0.14141223551457172</v>
      </c>
      <c r="BC15" s="783"/>
      <c r="BD15" s="821">
        <v>8562729.5753158554</v>
      </c>
      <c r="BE15" s="822">
        <v>0.58225665955417472</v>
      </c>
      <c r="BF15" s="823">
        <f t="shared" si="89"/>
        <v>-6.5138386022561279E-2</v>
      </c>
      <c r="BG15" s="783"/>
      <c r="BH15" s="821">
        <v>11045828.998199999</v>
      </c>
      <c r="BI15" s="822">
        <v>0.72687075473189988</v>
      </c>
      <c r="BJ15" s="823">
        <f t="shared" si="90"/>
        <v>0.24836829739045663</v>
      </c>
      <c r="BK15" s="783"/>
      <c r="BL15" s="821">
        <v>11568330.944249999</v>
      </c>
      <c r="BM15" s="822">
        <v>0.68771883938552769</v>
      </c>
      <c r="BN15" s="823">
        <f t="shared" si="91"/>
        <v>-5.3863654702703045E-2</v>
      </c>
      <c r="BO15" s="783"/>
      <c r="BP15" s="821">
        <v>12592679.530000001</v>
      </c>
      <c r="BQ15" s="822">
        <v>0.67892720661852923</v>
      </c>
      <c r="BR15" s="823">
        <f t="shared" si="92"/>
        <v>-1.2783760257104038E-2</v>
      </c>
      <c r="BS15" s="783"/>
      <c r="BT15" s="660">
        <v>14006160</v>
      </c>
      <c r="BU15" s="660">
        <v>0.71</v>
      </c>
      <c r="BV15" s="660">
        <f t="shared" si="93"/>
        <v>4.5767488883281304E-2</v>
      </c>
      <c r="BW15" s="237">
        <v>14529003.2212</v>
      </c>
      <c r="BX15" s="238">
        <v>0.75057613815354784</v>
      </c>
      <c r="BY15" s="824">
        <f t="shared" si="60"/>
        <v>5.71494903571097E-2</v>
      </c>
      <c r="BZ15" s="824">
        <v>16169362.853399999</v>
      </c>
      <c r="CA15" s="824">
        <v>0.79265580047847906</v>
      </c>
      <c r="CB15" s="824">
        <f t="shared" si="61"/>
        <v>5.6063149607245899E-2</v>
      </c>
      <c r="CC15" s="956">
        <v>15891148.762050001</v>
      </c>
      <c r="CD15" s="956">
        <v>0.76458980113025976</v>
      </c>
      <c r="CE15" s="723">
        <f t="shared" si="101"/>
        <v>-3.5407549318730136E-2</v>
      </c>
      <c r="CF15" s="792">
        <f t="shared" si="94"/>
        <v>16523554.25475</v>
      </c>
      <c r="CG15" s="824">
        <f t="shared" si="94"/>
        <v>0.7941824250227445</v>
      </c>
      <c r="CH15" s="723">
        <f t="shared" si="95"/>
        <v>3.8703921826761523E-2</v>
      </c>
      <c r="CI15" s="825">
        <f t="shared" si="63"/>
        <v>1.246934250568223</v>
      </c>
      <c r="CJ15" s="723">
        <f t="shared" si="96"/>
        <v>4.6002681844093063E-2</v>
      </c>
      <c r="DD15" s="12"/>
      <c r="DN15" s="12"/>
      <c r="DU15" s="12"/>
      <c r="DV15" s="12"/>
      <c r="DW15" s="12"/>
      <c r="DX15" s="12"/>
      <c r="DY15" s="12"/>
      <c r="EF15" s="29"/>
      <c r="EQ15" s="19"/>
      <c r="ER15" s="266"/>
      <c r="FG15" s="19"/>
      <c r="FH15" s="266"/>
      <c r="FJ15" s="222">
        <f t="shared" si="78"/>
        <v>10</v>
      </c>
      <c r="FK15" s="242"/>
      <c r="FL15" s="877" t="s">
        <v>214</v>
      </c>
      <c r="FM15" s="650">
        <v>38301.99</v>
      </c>
      <c r="FN15" s="650">
        <v>65518.33</v>
      </c>
      <c r="FO15" s="650">
        <v>227733.46400000001</v>
      </c>
      <c r="FP15" s="794">
        <f t="shared" si="21"/>
        <v>331553.78400000004</v>
      </c>
      <c r="FQ15" s="650">
        <v>38301.99</v>
      </c>
      <c r="FR15" s="650">
        <v>65518.33</v>
      </c>
      <c r="FS15" s="650">
        <v>229810.96400000001</v>
      </c>
      <c r="FT15" s="650">
        <v>333631.28399999999</v>
      </c>
      <c r="FU15" s="955">
        <v>333631.28399999999</v>
      </c>
      <c r="FV15" s="16"/>
      <c r="FW15" s="266"/>
      <c r="GN15" s="355"/>
      <c r="GO15" s="355"/>
      <c r="GP15" s="355"/>
      <c r="GZ15" s="222">
        <v>10</v>
      </c>
      <c r="HA15" s="663">
        <v>10</v>
      </c>
      <c r="HB15" s="663">
        <v>10</v>
      </c>
      <c r="HC15" s="663">
        <v>10</v>
      </c>
      <c r="HD15" s="682">
        <v>66218585</v>
      </c>
      <c r="HE15" s="682">
        <v>68377091</v>
      </c>
      <c r="HF15" s="724">
        <f t="shared" si="22"/>
        <v>1</v>
      </c>
      <c r="HG15" s="724">
        <f t="shared" si="23"/>
        <v>1.0325966796179653</v>
      </c>
      <c r="HH15" s="723">
        <v>0.5</v>
      </c>
      <c r="HI15" s="723">
        <v>0.5</v>
      </c>
      <c r="HJ15" s="723">
        <v>0</v>
      </c>
      <c r="HN15" s="243">
        <v>10</v>
      </c>
      <c r="HO15" s="891">
        <v>10</v>
      </c>
      <c r="HP15" s="793">
        <f t="shared" si="2"/>
        <v>1.0325966796179653</v>
      </c>
      <c r="HQ15" s="650">
        <v>0</v>
      </c>
      <c r="HR15" s="794">
        <f t="shared" si="24"/>
        <v>0</v>
      </c>
      <c r="HS15" s="650">
        <v>7192089</v>
      </c>
      <c r="HT15" s="975">
        <v>7421436</v>
      </c>
      <c r="HU15" s="650">
        <v>3251905.9609000003</v>
      </c>
      <c r="HV15" s="975">
        <v>3686139</v>
      </c>
      <c r="HW15" s="650">
        <v>225000</v>
      </c>
      <c r="HX15" s="955">
        <v>225000</v>
      </c>
      <c r="HY15" s="650">
        <f t="shared" si="25"/>
        <v>3476905.9609000003</v>
      </c>
      <c r="HZ15" s="650">
        <f t="shared" si="25"/>
        <v>3911139</v>
      </c>
      <c r="IA15" s="206"/>
      <c r="IB15" s="207"/>
      <c r="IC15" s="206"/>
      <c r="ID15" s="244">
        <v>10</v>
      </c>
      <c r="IE15" s="891">
        <v>10</v>
      </c>
      <c r="IF15" s="899">
        <f t="shared" si="3"/>
        <v>1</v>
      </c>
      <c r="IG15" s="900">
        <f t="shared" si="3"/>
        <v>1.0325966796179653</v>
      </c>
      <c r="IH15" s="955">
        <v>868571.60226464225</v>
      </c>
      <c r="II15" s="794">
        <f t="shared" si="64"/>
        <v>896884.15250892553</v>
      </c>
      <c r="IJ15" s="955">
        <v>55419.501999999993</v>
      </c>
      <c r="IK15" s="794">
        <f t="shared" si="26"/>
        <v>57225.993751281181</v>
      </c>
      <c r="IL15" s="955">
        <v>516575.9077353577</v>
      </c>
      <c r="IM15" s="794">
        <f t="shared" si="82"/>
        <v>516575.9077353577</v>
      </c>
      <c r="IN15" s="955">
        <v>765934.96395878121</v>
      </c>
      <c r="IO15" s="995">
        <v>780068.43343405006</v>
      </c>
      <c r="IP15" s="955">
        <v>75147.020000000019</v>
      </c>
      <c r="IQ15" s="794">
        <f t="shared" si="27"/>
        <v>77596.563335184852</v>
      </c>
      <c r="IR15" s="955">
        <v>56302.500000000007</v>
      </c>
      <c r="IS15" s="794">
        <f t="shared" si="28"/>
        <v>58137.774554190502</v>
      </c>
      <c r="IT15" s="955">
        <v>132365.25</v>
      </c>
      <c r="IU15" s="794">
        <f t="shared" si="29"/>
        <v>136679.91764680188</v>
      </c>
      <c r="IV15" s="955">
        <v>335051.89025</v>
      </c>
      <c r="IW15" s="794">
        <f t="shared" si="30"/>
        <v>345973.4693718729</v>
      </c>
      <c r="IX15" s="650">
        <f t="shared" si="31"/>
        <v>2805368.6362087815</v>
      </c>
      <c r="IY15" s="650">
        <f t="shared" si="31"/>
        <v>2869142.2123376648</v>
      </c>
      <c r="IZ15" s="683">
        <f t="shared" si="4"/>
        <v>4.1960577298289348</v>
      </c>
      <c r="JD15" s="222">
        <v>10</v>
      </c>
      <c r="JE15" s="663">
        <v>10</v>
      </c>
      <c r="JF15" s="660">
        <f t="shared" si="5"/>
        <v>10</v>
      </c>
      <c r="JG15" s="660">
        <f t="shared" si="32"/>
        <v>10</v>
      </c>
      <c r="JH15" s="905">
        <f t="shared" si="6"/>
        <v>68377091</v>
      </c>
      <c r="JI15" s="905">
        <f t="shared" si="83"/>
        <v>68098532.300474539</v>
      </c>
      <c r="JJ15" s="906">
        <f t="shared" si="33"/>
        <v>1</v>
      </c>
      <c r="JK15" s="906">
        <f t="shared" si="34"/>
        <v>0.99592613994758183</v>
      </c>
      <c r="JL15" s="906">
        <f t="shared" si="35"/>
        <v>1.0279322871551697</v>
      </c>
      <c r="JM15" s="663" t="s">
        <v>238</v>
      </c>
      <c r="JN15" s="209"/>
      <c r="JO15" s="210"/>
      <c r="JP15" s="209"/>
      <c r="JQ15" s="222">
        <v>10</v>
      </c>
      <c r="JR15" s="663">
        <v>10</v>
      </c>
      <c r="JS15" s="914" t="str">
        <f t="shared" si="7"/>
        <v>Q3</v>
      </c>
      <c r="JT15" s="913">
        <f t="shared" si="8"/>
        <v>1.0279322871551697</v>
      </c>
      <c r="JU15" s="671">
        <f t="shared" si="36"/>
        <v>0</v>
      </c>
      <c r="JV15" s="671">
        <f t="shared" si="37"/>
        <v>0</v>
      </c>
      <c r="JW15" s="671">
        <f t="shared" si="9"/>
        <v>7421436</v>
      </c>
      <c r="JX15" s="671">
        <f t="shared" si="38"/>
        <v>7513386.3946296824</v>
      </c>
      <c r="JY15" s="671">
        <f t="shared" si="10"/>
        <v>3686139</v>
      </c>
      <c r="JZ15" s="671">
        <f t="shared" si="11"/>
        <v>3373644.1271180795</v>
      </c>
      <c r="KA15" s="671">
        <f t="shared" si="39"/>
        <v>225000</v>
      </c>
      <c r="KB15" s="671">
        <f t="shared" si="40"/>
        <v>148018.77972971628</v>
      </c>
      <c r="KC15" s="671">
        <f t="shared" si="41"/>
        <v>3911139</v>
      </c>
      <c r="KD15" s="671">
        <f t="shared" si="41"/>
        <v>3521662.9068477959</v>
      </c>
      <c r="KE15" s="211"/>
      <c r="KF15" s="210"/>
      <c r="KG15" s="209"/>
      <c r="KH15" s="245">
        <f t="shared" si="65"/>
        <v>10</v>
      </c>
      <c r="KI15" s="917">
        <v>9</v>
      </c>
      <c r="KJ15" s="918">
        <f t="shared" si="66"/>
        <v>1</v>
      </c>
      <c r="KK15" s="918">
        <f t="shared" si="66"/>
        <v>0.99592613994758195</v>
      </c>
      <c r="KL15" s="898">
        <v>1.6626666699999999</v>
      </c>
      <c r="KM15" s="801">
        <f t="shared" si="67"/>
        <v>829070.47166404396</v>
      </c>
      <c r="KN15" s="898">
        <v>1.6626666699999999</v>
      </c>
      <c r="KO15" s="801">
        <f t="shared" si="42"/>
        <v>107964.56589228721</v>
      </c>
      <c r="KP15" s="898">
        <v>1.6626666699999999</v>
      </c>
      <c r="KQ15" s="801">
        <f t="shared" si="43"/>
        <v>581022.92863022629</v>
      </c>
      <c r="KR15" s="898">
        <v>1.6626666699999999</v>
      </c>
      <c r="KS15" s="801">
        <f t="shared" si="68"/>
        <v>685511.6727422016</v>
      </c>
      <c r="KT15" s="898">
        <v>1.6626666699999999</v>
      </c>
      <c r="KU15" s="801">
        <f t="shared" si="44"/>
        <v>69821.1502279298</v>
      </c>
      <c r="KV15" s="898">
        <v>1.6626666699999999</v>
      </c>
      <c r="KW15" s="801">
        <f t="shared" si="45"/>
        <v>74201.760871013234</v>
      </c>
      <c r="KX15" s="898">
        <v>1.6626666699999999</v>
      </c>
      <c r="KY15" s="801">
        <f t="shared" si="46"/>
        <v>73549.579039092481</v>
      </c>
      <c r="KZ15" s="898">
        <v>1.6626666699999999</v>
      </c>
      <c r="LA15" s="919">
        <f t="shared" si="47"/>
        <v>869387.23512591317</v>
      </c>
      <c r="LB15" s="646">
        <f t="shared" si="48"/>
        <v>3202003.7918779361</v>
      </c>
      <c r="LC15" s="646">
        <f t="shared" si="79"/>
        <v>3290529.3641927079</v>
      </c>
      <c r="LD15" s="16"/>
      <c r="LE15" s="220"/>
      <c r="LG15" s="222">
        <v>10</v>
      </c>
      <c r="LH15" s="922">
        <v>10</v>
      </c>
      <c r="LI15" s="650">
        <f t="shared" si="12"/>
        <v>3476905.9609000003</v>
      </c>
      <c r="LJ15" s="650">
        <f t="shared" si="12"/>
        <v>3911139</v>
      </c>
      <c r="LK15" s="794">
        <f t="shared" si="13"/>
        <v>3521662.9068477959</v>
      </c>
      <c r="LL15" s="650">
        <f t="shared" si="14"/>
        <v>2805368.6362087815</v>
      </c>
      <c r="LM15" s="650">
        <f t="shared" si="14"/>
        <v>2869142.2123376648</v>
      </c>
      <c r="LN15" s="794">
        <f t="shared" si="49"/>
        <v>2949283.9165016995</v>
      </c>
      <c r="LO15" s="650">
        <f t="shared" si="50"/>
        <v>671537.32469121879</v>
      </c>
      <c r="LP15" s="650">
        <f t="shared" si="50"/>
        <v>1041996.7876623352</v>
      </c>
      <c r="LQ15" s="650">
        <f t="shared" si="50"/>
        <v>572378.99034609646</v>
      </c>
      <c r="MA15" s="192">
        <f t="shared" si="80"/>
        <v>9</v>
      </c>
      <c r="MB15" s="814" t="s">
        <v>57</v>
      </c>
      <c r="MC15" s="860">
        <f t="shared" si="102"/>
        <v>1985779.5732121689</v>
      </c>
      <c r="MD15" s="928">
        <f t="shared" si="103"/>
        <v>9.0876832324627635E-2</v>
      </c>
      <c r="ME15" s="796"/>
      <c r="MF15" s="798">
        <f t="shared" si="104"/>
        <v>1985779.5732121689</v>
      </c>
      <c r="MG15" s="928">
        <f t="shared" si="105"/>
        <v>9.0876832324627635E-2</v>
      </c>
      <c r="MK15" s="192">
        <f t="shared" si="81"/>
        <v>9</v>
      </c>
      <c r="ML15" s="253" t="str">
        <f t="shared" si="53"/>
        <v>Contract Labour</v>
      </c>
      <c r="MM15" s="979">
        <v>2011456.9761871099</v>
      </c>
      <c r="MN15" s="860">
        <f t="shared" si="106"/>
        <v>1985779.5732121689</v>
      </c>
      <c r="MO15" s="860">
        <f t="shared" si="70"/>
        <v>-25677.402974941069</v>
      </c>
      <c r="MP15" s="802">
        <f t="shared" si="71"/>
        <v>-1.2765574048526159E-2</v>
      </c>
    </row>
    <row r="16" spans="1:405" s="29" customFormat="1" ht="16.5" x14ac:dyDescent="0.3">
      <c r="B16" s="181">
        <f t="shared" si="72"/>
        <v>11</v>
      </c>
      <c r="C16" s="251"/>
      <c r="D16" s="796" t="s">
        <v>48</v>
      </c>
      <c r="E16" s="797"/>
      <c r="F16" s="798">
        <f>DN9</f>
        <v>16523554.25475</v>
      </c>
      <c r="G16" s="799">
        <f t="shared" si="97"/>
        <v>0.7941824250227445</v>
      </c>
      <c r="H16" s="798">
        <f>DP9</f>
        <v>17962433.615376391</v>
      </c>
      <c r="I16" s="800">
        <f t="shared" si="98"/>
        <v>0.85881766560449857</v>
      </c>
      <c r="J16" s="801">
        <f t="shared" si="54"/>
        <v>1438879.3606263902</v>
      </c>
      <c r="K16" s="798">
        <f>IM26</f>
        <v>18604918.663317382</v>
      </c>
      <c r="L16" s="800">
        <f t="shared" si="99"/>
        <v>0.84796328498256912</v>
      </c>
      <c r="M16" s="801">
        <f t="shared" si="55"/>
        <v>642485.04794099182</v>
      </c>
      <c r="N16" s="798">
        <f>KQ27</f>
        <v>19173425.776259005</v>
      </c>
      <c r="O16" s="800">
        <f t="shared" si="100"/>
        <v>0.87744894894817982</v>
      </c>
      <c r="P16" s="801">
        <f t="shared" si="56"/>
        <v>568507.11294162273</v>
      </c>
      <c r="Q16" s="798">
        <f t="shared" si="57"/>
        <v>2649871.5215090048</v>
      </c>
      <c r="R16" s="802">
        <f t="shared" si="58"/>
        <v>0.10484558874876981</v>
      </c>
      <c r="S16" s="12"/>
      <c r="T16" s="13"/>
      <c r="U16" s="12"/>
      <c r="V16" s="165">
        <f t="shared" si="59"/>
        <v>8</v>
      </c>
      <c r="W16" s="808" t="s">
        <v>132</v>
      </c>
      <c r="X16" s="650">
        <f>X14-X10</f>
        <v>2576756.5991441193</v>
      </c>
      <c r="Y16" s="650">
        <f t="shared" ref="Y16:AA16" si="107">Y14-Y10</f>
        <v>4998445.2571030203</v>
      </c>
      <c r="Z16" s="650">
        <f t="shared" si="107"/>
        <v>9937088.2862379495</v>
      </c>
      <c r="AA16" s="650">
        <f t="shared" si="107"/>
        <v>17512290.14248509</v>
      </c>
      <c r="AB16" s="230"/>
      <c r="AC16" s="234"/>
      <c r="AD16" s="13"/>
      <c r="AE16" s="12"/>
      <c r="AF16" s="252">
        <f t="shared" si="73"/>
        <v>10</v>
      </c>
      <c r="AG16" s="814" t="s">
        <v>180</v>
      </c>
      <c r="AH16" s="815">
        <f>AH15*3600/$K$24</f>
        <v>3.0451184708403782</v>
      </c>
      <c r="AI16" s="815">
        <f>AI15*3600/$K$24</f>
        <v>0.15128923398834065</v>
      </c>
      <c r="AJ16" s="815">
        <f>AJ15*3600/$K$24</f>
        <v>0.96880969007169926</v>
      </c>
      <c r="AK16" s="12"/>
      <c r="AL16" s="299"/>
      <c r="AM16" s="12"/>
      <c r="AN16" s="192">
        <f>AN15+1</f>
        <v>11</v>
      </c>
      <c r="AO16" s="254"/>
      <c r="AP16" s="254"/>
      <c r="AQ16" s="804" t="s">
        <v>49</v>
      </c>
      <c r="AR16" s="797"/>
      <c r="AS16" s="827">
        <v>3443976.8344000001</v>
      </c>
      <c r="AT16" s="828">
        <v>0.33584033829171284</v>
      </c>
      <c r="AU16" s="829"/>
      <c r="AV16" s="827">
        <v>5716425.9886499979</v>
      </c>
      <c r="AW16" s="828">
        <v>0.52970164931322072</v>
      </c>
      <c r="AX16" s="830">
        <f t="shared" si="87"/>
        <v>0.57724248375762066</v>
      </c>
      <c r="AY16" s="829"/>
      <c r="AZ16" s="827">
        <v>7023487.4984412417</v>
      </c>
      <c r="BA16" s="828">
        <v>0.54439866027303074</v>
      </c>
      <c r="BB16" s="830">
        <f t="shared" si="88"/>
        <v>2.7745828201338085E-2</v>
      </c>
      <c r="BC16" s="829"/>
      <c r="BD16" s="827">
        <v>8390599.8471698686</v>
      </c>
      <c r="BE16" s="828">
        <v>0.57055201798647071</v>
      </c>
      <c r="BF16" s="830">
        <f t="shared" si="89"/>
        <v>4.8040819388356581E-2</v>
      </c>
      <c r="BG16" s="829"/>
      <c r="BH16" s="827">
        <v>9500186.8885000013</v>
      </c>
      <c r="BI16" s="828">
        <v>0.62515977885076657</v>
      </c>
      <c r="BJ16" s="830">
        <f t="shared" si="90"/>
        <v>9.5710398250822948E-2</v>
      </c>
      <c r="BK16" s="829"/>
      <c r="BL16" s="827">
        <v>10661854.069499999</v>
      </c>
      <c r="BM16" s="828">
        <v>0.63383023373989222</v>
      </c>
      <c r="BN16" s="830">
        <f t="shared" si="91"/>
        <v>1.386918221940725E-2</v>
      </c>
      <c r="BO16" s="829"/>
      <c r="BP16" s="827">
        <v>13069899.7289</v>
      </c>
      <c r="BQ16" s="828">
        <v>0.70465626418798799</v>
      </c>
      <c r="BR16" s="830">
        <f t="shared" si="92"/>
        <v>0.11174290319063718</v>
      </c>
      <c r="BS16" s="829"/>
      <c r="BT16" s="796">
        <v>15592449</v>
      </c>
      <c r="BU16" s="796">
        <v>0.79</v>
      </c>
      <c r="BV16" s="796">
        <f t="shared" si="93"/>
        <v>0.12111399578680837</v>
      </c>
      <c r="BW16" s="258">
        <v>21298745.488500003</v>
      </c>
      <c r="BX16" s="259">
        <v>1.100304672859262</v>
      </c>
      <c r="BY16" s="831">
        <f t="shared" si="60"/>
        <v>0.39279072513830626</v>
      </c>
      <c r="BZ16" s="831">
        <v>23700279.210100003</v>
      </c>
      <c r="CA16" s="831">
        <v>1.1618369851162706</v>
      </c>
      <c r="CB16" s="831">
        <f t="shared" si="61"/>
        <v>5.5922976403535829E-2</v>
      </c>
      <c r="CC16" s="956">
        <v>24697713.659500003</v>
      </c>
      <c r="CD16" s="956">
        <v>1.1883105657147701</v>
      </c>
      <c r="CE16" s="802">
        <f t="shared" si="101"/>
        <v>2.2785968201769924E-2</v>
      </c>
      <c r="CF16" s="798">
        <f t="shared" si="94"/>
        <v>25788943.3565</v>
      </c>
      <c r="CG16" s="831">
        <f t="shared" si="94"/>
        <v>1.2395108980715628</v>
      </c>
      <c r="CH16" s="802">
        <f t="shared" si="95"/>
        <v>4.30866591899699E-2</v>
      </c>
      <c r="CI16" s="832">
        <f t="shared" si="63"/>
        <v>6.4881291589735319</v>
      </c>
      <c r="CJ16" s="802">
        <f t="shared" si="96"/>
        <v>0.11834627601791059</v>
      </c>
      <c r="CK16" s="12"/>
      <c r="CL16" s="13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3"/>
      <c r="CZ16" s="12"/>
      <c r="DA16" s="12"/>
      <c r="DB16" s="12"/>
      <c r="DC16" s="12"/>
      <c r="DD16" s="12"/>
      <c r="DE16" s="12"/>
      <c r="DF16" s="12"/>
      <c r="DG16" s="12"/>
      <c r="DH16" s="12"/>
      <c r="DI16" s="13"/>
      <c r="DJ16" s="12"/>
      <c r="DK16" s="12"/>
      <c r="DL16" s="12"/>
      <c r="DM16" s="12"/>
      <c r="DN16" s="12"/>
      <c r="DO16" s="12"/>
      <c r="DP16" s="12"/>
      <c r="DQ16" s="12"/>
      <c r="DR16" s="1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3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311"/>
      <c r="ER16" s="266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311"/>
      <c r="FH16" s="266"/>
      <c r="FI16" s="12"/>
      <c r="FJ16" s="192">
        <f t="shared" si="78"/>
        <v>11</v>
      </c>
      <c r="FK16" s="265"/>
      <c r="FL16" s="878" t="s">
        <v>215</v>
      </c>
      <c r="FM16" s="860">
        <v>82960.8465</v>
      </c>
      <c r="FN16" s="860">
        <v>247179.69999999995</v>
      </c>
      <c r="FO16" s="860">
        <v>496871.88333999994</v>
      </c>
      <c r="FP16" s="801">
        <f t="shared" si="21"/>
        <v>827012.42983999988</v>
      </c>
      <c r="FQ16" s="860">
        <v>82980.54377272728</v>
      </c>
      <c r="FR16" s="860">
        <v>247179.69999999995</v>
      </c>
      <c r="FS16" s="860">
        <v>496871.88333999994</v>
      </c>
      <c r="FT16" s="860">
        <v>827032.12711272715</v>
      </c>
      <c r="FU16" s="955">
        <v>827032.12711272715</v>
      </c>
      <c r="FV16" s="16"/>
      <c r="FW16" s="266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3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3"/>
      <c r="GX16" s="12"/>
      <c r="GY16" s="12"/>
      <c r="GZ16" s="192">
        <v>11</v>
      </c>
      <c r="HA16" s="886">
        <v>11</v>
      </c>
      <c r="HB16" s="886">
        <v>10</v>
      </c>
      <c r="HC16" s="886">
        <v>10</v>
      </c>
      <c r="HD16" s="887">
        <v>81129366</v>
      </c>
      <c r="HE16" s="887">
        <v>83360260</v>
      </c>
      <c r="HF16" s="800">
        <f t="shared" si="22"/>
        <v>1</v>
      </c>
      <c r="HG16" s="800">
        <f t="shared" si="23"/>
        <v>1.0274979838989498</v>
      </c>
      <c r="HH16" s="802">
        <v>0</v>
      </c>
      <c r="HI16" s="802">
        <v>1</v>
      </c>
      <c r="HJ16" s="802">
        <v>0</v>
      </c>
      <c r="HK16" s="12"/>
      <c r="HL16" s="13"/>
      <c r="HM16" s="12"/>
      <c r="HN16" s="267">
        <v>11</v>
      </c>
      <c r="HO16" s="892">
        <v>11</v>
      </c>
      <c r="HP16" s="799">
        <f t="shared" si="2"/>
        <v>1.0274979838989498</v>
      </c>
      <c r="HQ16" s="860">
        <v>2581.4899999999998</v>
      </c>
      <c r="HR16" s="801">
        <f t="shared" si="24"/>
        <v>2652.4757704552994</v>
      </c>
      <c r="HS16" s="860">
        <v>8836266</v>
      </c>
      <c r="HT16" s="975">
        <v>9087731</v>
      </c>
      <c r="HU16" s="860">
        <v>3929506.6488000001</v>
      </c>
      <c r="HV16" s="975">
        <v>4562596</v>
      </c>
      <c r="HW16" s="860">
        <v>225000</v>
      </c>
      <c r="HX16" s="955">
        <v>225000</v>
      </c>
      <c r="HY16" s="860">
        <f t="shared" si="25"/>
        <v>4157088.1388000003</v>
      </c>
      <c r="HZ16" s="860">
        <f t="shared" si="25"/>
        <v>4790248.4757704549</v>
      </c>
      <c r="IA16" s="206"/>
      <c r="IB16" s="207"/>
      <c r="IC16" s="206"/>
      <c r="ID16" s="208">
        <v>11</v>
      </c>
      <c r="IE16" s="892">
        <v>11</v>
      </c>
      <c r="IF16" s="896">
        <f t="shared" si="3"/>
        <v>1</v>
      </c>
      <c r="IG16" s="897">
        <f t="shared" si="3"/>
        <v>1.0274979838989498</v>
      </c>
      <c r="IH16" s="955">
        <v>1423641.7045909851</v>
      </c>
      <c r="II16" s="801">
        <f t="shared" si="64"/>
        <v>1462788.9812617013</v>
      </c>
      <c r="IJ16" s="955">
        <v>82670.929999999993</v>
      </c>
      <c r="IK16" s="801">
        <f t="shared" si="26"/>
        <v>84944.213902051197</v>
      </c>
      <c r="IL16" s="955">
        <v>693581.72540901485</v>
      </c>
      <c r="IM16" s="801">
        <f t="shared" si="82"/>
        <v>693581.72540901485</v>
      </c>
      <c r="IN16" s="955">
        <v>1097311.9781036684</v>
      </c>
      <c r="IO16" s="995">
        <v>1097311.9781036684</v>
      </c>
      <c r="IP16" s="955">
        <v>115389.88249999999</v>
      </c>
      <c r="IQ16" s="801">
        <f t="shared" si="27"/>
        <v>118562.8716310867</v>
      </c>
      <c r="IR16" s="955">
        <v>62157.794999999998</v>
      </c>
      <c r="IS16" s="801">
        <f t="shared" si="28"/>
        <v>63867.00904610422</v>
      </c>
      <c r="IT16" s="955">
        <v>135787.78999999998</v>
      </c>
      <c r="IU16" s="801">
        <f t="shared" si="29"/>
        <v>139521.68046309394</v>
      </c>
      <c r="IV16" s="955">
        <v>373475.82789999997</v>
      </c>
      <c r="IW16" s="801">
        <f t="shared" si="30"/>
        <v>383745.6602022411</v>
      </c>
      <c r="IX16" s="860">
        <f t="shared" si="31"/>
        <v>3984017.633503668</v>
      </c>
      <c r="IY16" s="860">
        <f t="shared" si="31"/>
        <v>4044324.1200189614</v>
      </c>
      <c r="IZ16" s="898">
        <f t="shared" si="4"/>
        <v>4.8516212881521259</v>
      </c>
      <c r="JA16" s="12"/>
      <c r="JB16" s="13"/>
      <c r="JC16" s="12"/>
      <c r="JD16" s="192">
        <v>11</v>
      </c>
      <c r="JE16" s="886">
        <v>11</v>
      </c>
      <c r="JF16" s="796">
        <f t="shared" si="5"/>
        <v>10</v>
      </c>
      <c r="JG16" s="796">
        <f t="shared" si="32"/>
        <v>10</v>
      </c>
      <c r="JH16" s="859">
        <f t="shared" si="6"/>
        <v>83360260</v>
      </c>
      <c r="JI16" s="859">
        <f t="shared" si="83"/>
        <v>83020661.966826811</v>
      </c>
      <c r="JJ16" s="904">
        <f t="shared" si="33"/>
        <v>1</v>
      </c>
      <c r="JK16" s="904">
        <f t="shared" si="34"/>
        <v>0.99592613994758183</v>
      </c>
      <c r="JL16" s="904">
        <f t="shared" si="35"/>
        <v>1.041677267864592</v>
      </c>
      <c r="JM16" s="886" t="s">
        <v>425</v>
      </c>
      <c r="JN16" s="209"/>
      <c r="JO16" s="210"/>
      <c r="JP16" s="209"/>
      <c r="JQ16" s="192">
        <v>11</v>
      </c>
      <c r="JR16" s="886">
        <v>11</v>
      </c>
      <c r="JS16" s="910" t="str">
        <f t="shared" si="7"/>
        <v>Q2</v>
      </c>
      <c r="JT16" s="911">
        <f t="shared" si="8"/>
        <v>1.041677267864592</v>
      </c>
      <c r="JU16" s="860">
        <f t="shared" si="36"/>
        <v>2652.4757704552994</v>
      </c>
      <c r="JV16" s="860">
        <f t="shared" si="37"/>
        <v>2763.023713644905</v>
      </c>
      <c r="JW16" s="860">
        <f t="shared" si="9"/>
        <v>9087731</v>
      </c>
      <c r="JX16" s="860">
        <f t="shared" si="38"/>
        <v>9159761.4665530734</v>
      </c>
      <c r="JY16" s="860">
        <f t="shared" si="10"/>
        <v>4562596</v>
      </c>
      <c r="JZ16" s="860">
        <f t="shared" si="11"/>
        <v>4112895.8174607945</v>
      </c>
      <c r="KA16" s="860">
        <f t="shared" si="39"/>
        <v>225000</v>
      </c>
      <c r="KB16" s="860">
        <f t="shared" si="40"/>
        <v>180453.47912141916</v>
      </c>
      <c r="KC16" s="860">
        <f t="shared" si="41"/>
        <v>4790248.4757704549</v>
      </c>
      <c r="KD16" s="860">
        <f t="shared" si="41"/>
        <v>4296112.3202958591</v>
      </c>
      <c r="KE16" s="211"/>
      <c r="KF16" s="210"/>
      <c r="KG16" s="209"/>
      <c r="KH16" s="243">
        <f t="shared" si="65"/>
        <v>11</v>
      </c>
      <c r="KI16" s="891">
        <v>10</v>
      </c>
      <c r="KJ16" s="920">
        <f t="shared" si="66"/>
        <v>1</v>
      </c>
      <c r="KK16" s="920">
        <f t="shared" si="66"/>
        <v>0.99592613994758183</v>
      </c>
      <c r="KL16" s="683">
        <v>1.6626666699999999</v>
      </c>
      <c r="KM16" s="794">
        <f t="shared" si="67"/>
        <v>920235.01287812868</v>
      </c>
      <c r="KN16" s="683">
        <v>1.6626666699999999</v>
      </c>
      <c r="KO16" s="794">
        <f t="shared" si="42"/>
        <v>58715.903218225139</v>
      </c>
      <c r="KP16" s="683">
        <v>1.6626666699999999</v>
      </c>
      <c r="KQ16" s="794">
        <f t="shared" si="43"/>
        <v>532193.31990377733</v>
      </c>
      <c r="KR16" s="683">
        <v>1.6626666699999999</v>
      </c>
      <c r="KS16" s="794">
        <f t="shared" si="68"/>
        <v>803651.89921727066</v>
      </c>
      <c r="KT16" s="683">
        <v>1.6626666699999999</v>
      </c>
      <c r="KU16" s="794">
        <f t="shared" si="44"/>
        <v>79616.831516422346</v>
      </c>
      <c r="KV16" s="683">
        <v>1.6626666699999999</v>
      </c>
      <c r="KW16" s="794">
        <f t="shared" si="45"/>
        <v>59651.422723793556</v>
      </c>
      <c r="KX16" s="683">
        <v>1.6626666699999999</v>
      </c>
      <c r="KY16" s="794">
        <f t="shared" si="46"/>
        <v>140238.45267422608</v>
      </c>
      <c r="KZ16" s="683">
        <v>1.6626666699999999</v>
      </c>
      <c r="LA16" s="794">
        <f t="shared" si="47"/>
        <v>354981.07436985621</v>
      </c>
      <c r="LB16" s="650">
        <f t="shared" si="48"/>
        <v>2869142.2123376648</v>
      </c>
      <c r="LC16" s="650">
        <f t="shared" si="79"/>
        <v>2949283.9165016995</v>
      </c>
      <c r="LD16" s="16"/>
      <c r="LE16" s="220"/>
      <c r="LF16" s="12"/>
      <c r="LG16" s="192">
        <v>11</v>
      </c>
      <c r="LH16" s="921">
        <v>11</v>
      </c>
      <c r="LI16" s="860">
        <f t="shared" si="12"/>
        <v>4157088.1388000003</v>
      </c>
      <c r="LJ16" s="860">
        <f t="shared" si="12"/>
        <v>4790248.4757704549</v>
      </c>
      <c r="LK16" s="801">
        <f t="shared" si="13"/>
        <v>4296112.3202958591</v>
      </c>
      <c r="LL16" s="860">
        <f t="shared" si="14"/>
        <v>3984017.633503668</v>
      </c>
      <c r="LM16" s="860">
        <f t="shared" si="14"/>
        <v>4044324.1200189614</v>
      </c>
      <c r="LN16" s="801">
        <f t="shared" si="49"/>
        <v>4212880.4997002222</v>
      </c>
      <c r="LO16" s="860">
        <f t="shared" si="50"/>
        <v>173070.5052963323</v>
      </c>
      <c r="LP16" s="860">
        <f t="shared" si="50"/>
        <v>745924.35575149348</v>
      </c>
      <c r="LQ16" s="860">
        <f t="shared" si="50"/>
        <v>83231.820595636964</v>
      </c>
      <c r="LR16" s="12"/>
      <c r="LS16" s="13"/>
      <c r="LT16" s="12"/>
      <c r="LU16" s="12"/>
      <c r="LV16" s="12"/>
      <c r="LW16" s="12"/>
      <c r="LX16" s="12"/>
      <c r="LY16" s="13"/>
      <c r="LZ16" s="12"/>
      <c r="MA16" s="222">
        <f t="shared" si="80"/>
        <v>10</v>
      </c>
      <c r="MB16" s="812" t="s">
        <v>48</v>
      </c>
      <c r="MC16" s="650">
        <f t="shared" si="102"/>
        <v>19173425.776259005</v>
      </c>
      <c r="MD16" s="747">
        <f t="shared" si="103"/>
        <v>0.87744894894817982</v>
      </c>
      <c r="ME16" s="660"/>
      <c r="MF16" s="792">
        <f t="shared" si="104"/>
        <v>19173425.776259005</v>
      </c>
      <c r="MG16" s="747">
        <f t="shared" si="105"/>
        <v>0.87744894894817982</v>
      </c>
      <c r="MH16" s="12"/>
      <c r="MI16" s="13"/>
      <c r="MJ16" s="12"/>
      <c r="MK16" s="222">
        <f t="shared" si="81"/>
        <v>10</v>
      </c>
      <c r="ML16" s="231" t="str">
        <f t="shared" si="53"/>
        <v>Overhead Labour</v>
      </c>
      <c r="MM16" s="979">
        <v>15711197.861928774</v>
      </c>
      <c r="MN16" s="650">
        <f t="shared" si="106"/>
        <v>19173425.776259005</v>
      </c>
      <c r="MO16" s="650">
        <f t="shared" si="70"/>
        <v>3462227.914330231</v>
      </c>
      <c r="MP16" s="823">
        <f t="shared" si="71"/>
        <v>0.22036689657635011</v>
      </c>
      <c r="MQ16" s="12"/>
      <c r="MR16" s="13"/>
      <c r="MS16" s="12"/>
    </row>
    <row r="17" spans="1:357" ht="16.5" x14ac:dyDescent="0.3">
      <c r="B17" s="143">
        <f t="shared" si="72"/>
        <v>12</v>
      </c>
      <c r="C17" s="223"/>
      <c r="D17" s="660" t="s">
        <v>49</v>
      </c>
      <c r="E17" s="791"/>
      <c r="F17" s="792">
        <f>DY12</f>
        <v>25788943.3565</v>
      </c>
      <c r="G17" s="793">
        <f t="shared" si="97"/>
        <v>1.2395108980715628</v>
      </c>
      <c r="H17" s="792">
        <f>EC12</f>
        <v>23103829.087177198</v>
      </c>
      <c r="I17" s="724">
        <f t="shared" si="98"/>
        <v>1.1046374332144782</v>
      </c>
      <c r="J17" s="794">
        <f t="shared" si="54"/>
        <v>-2685114.2693228014</v>
      </c>
      <c r="K17" s="792">
        <f>IO26</f>
        <v>24327750.680698965</v>
      </c>
      <c r="L17" s="724">
        <f t="shared" si="99"/>
        <v>1.1087949244366184</v>
      </c>
      <c r="M17" s="794">
        <f t="shared" si="55"/>
        <v>1223921.5935217664</v>
      </c>
      <c r="N17" s="792">
        <f>KS27</f>
        <v>25073716.728897151</v>
      </c>
      <c r="O17" s="724">
        <f t="shared" si="100"/>
        <v>1.1474687229465925</v>
      </c>
      <c r="P17" s="794">
        <f t="shared" si="56"/>
        <v>745966.04819818586</v>
      </c>
      <c r="Q17" s="792">
        <f t="shared" si="57"/>
        <v>-715226.62760284916</v>
      </c>
      <c r="R17" s="723">
        <f t="shared" si="58"/>
        <v>-7.4256850236790961E-2</v>
      </c>
      <c r="V17" s="185"/>
      <c r="W17" s="186" t="s">
        <v>26</v>
      </c>
      <c r="X17" s="269"/>
      <c r="Y17" s="270"/>
      <c r="Z17" s="270"/>
      <c r="AA17" s="270"/>
      <c r="AB17" s="230" t="s">
        <v>430</v>
      </c>
      <c r="AC17" s="236"/>
      <c r="AF17" s="271">
        <f t="shared" si="73"/>
        <v>11</v>
      </c>
      <c r="AG17" s="816" t="s">
        <v>187</v>
      </c>
      <c r="AH17" s="818">
        <f>II26/AH15</f>
        <v>20.884539615581581</v>
      </c>
      <c r="AI17" s="818">
        <f>IK26/AI15</f>
        <v>20.908056285798974</v>
      </c>
      <c r="AJ17" s="818">
        <f>IM26/AJ15</f>
        <v>31.509468342655907</v>
      </c>
      <c r="AL17" s="299"/>
      <c r="AN17" s="222">
        <f t="shared" ref="AN17:AN20" si="108">AN16+1</f>
        <v>12</v>
      </c>
      <c r="AO17" s="18"/>
      <c r="AQ17" s="660" t="s">
        <v>216</v>
      </c>
      <c r="AR17" s="791"/>
      <c r="AS17" s="821">
        <v>1216501.406</v>
      </c>
      <c r="AT17" s="822">
        <v>0.11862746567938538</v>
      </c>
      <c r="AU17" s="783"/>
      <c r="AV17" s="821">
        <v>2361150.2250000001</v>
      </c>
      <c r="AW17" s="822">
        <v>0.2187914565748014</v>
      </c>
      <c r="AX17" s="823">
        <f t="shared" si="87"/>
        <v>0.84435750457764458</v>
      </c>
      <c r="AY17" s="783"/>
      <c r="AZ17" s="821">
        <v>2483160.2930935998</v>
      </c>
      <c r="BA17" s="822">
        <v>0.19247263373122833</v>
      </c>
      <c r="BB17" s="823">
        <f t="shared" si="88"/>
        <v>-0.12029182151623485</v>
      </c>
      <c r="BC17" s="783"/>
      <c r="BD17" s="821">
        <v>3556357.1057280144</v>
      </c>
      <c r="BE17" s="822">
        <v>0.24182856533648778</v>
      </c>
      <c r="BF17" s="823">
        <f t="shared" si="89"/>
        <v>0.25643090473932428</v>
      </c>
      <c r="BG17" s="783"/>
      <c r="BH17" s="821">
        <v>3747904.7313999999</v>
      </c>
      <c r="BI17" s="822">
        <v>0.24663086321723002</v>
      </c>
      <c r="BJ17" s="823">
        <f t="shared" si="90"/>
        <v>1.9858273872898957E-2</v>
      </c>
      <c r="BK17" s="783"/>
      <c r="BL17" s="821">
        <v>4022436.6702577379</v>
      </c>
      <c r="BM17" s="822">
        <v>0.23912744990636886</v>
      </c>
      <c r="BN17" s="823">
        <f t="shared" si="91"/>
        <v>-3.0423659119468094E-2</v>
      </c>
      <c r="BO17" s="783"/>
      <c r="BP17" s="813">
        <v>5745533.5202000001</v>
      </c>
      <c r="BQ17" s="822">
        <v>0.30976719562421123</v>
      </c>
      <c r="BR17" s="823">
        <f t="shared" si="92"/>
        <v>0.29540626032478334</v>
      </c>
      <c r="BS17" s="783"/>
      <c r="BT17" s="660">
        <v>6723403</v>
      </c>
      <c r="BU17" s="660">
        <v>0.34</v>
      </c>
      <c r="BV17" s="660">
        <f t="shared" si="93"/>
        <v>9.759847008611322E-2</v>
      </c>
      <c r="BW17" s="237">
        <v>7155288.9644999998</v>
      </c>
      <c r="BX17" s="238">
        <v>0.36964608490901918</v>
      </c>
      <c r="BY17" s="824">
        <f t="shared" si="60"/>
        <v>8.7194367379468174E-2</v>
      </c>
      <c r="BZ17" s="824">
        <v>8029824.328999999</v>
      </c>
      <c r="CA17" s="824">
        <v>0.39363869120338835</v>
      </c>
      <c r="CB17" s="824">
        <f t="shared" si="61"/>
        <v>6.4906967160965445E-2</v>
      </c>
      <c r="CC17" s="956">
        <v>8459101.3855000008</v>
      </c>
      <c r="CD17" s="956">
        <v>0.40700283805321286</v>
      </c>
      <c r="CE17" s="723">
        <f t="shared" si="101"/>
        <v>3.395028778540321E-2</v>
      </c>
      <c r="CF17" s="792">
        <f>F18+F19</f>
        <v>9697049.3831640016</v>
      </c>
      <c r="CG17" s="824">
        <f>G18+G19</f>
        <v>0.46607564425629766</v>
      </c>
      <c r="CH17" s="723">
        <f t="shared" si="95"/>
        <v>0.14514101789963796</v>
      </c>
      <c r="CI17" s="825">
        <f t="shared" si="63"/>
        <v>6.9712603169519083</v>
      </c>
      <c r="CJ17" s="723">
        <f t="shared" si="96"/>
        <v>0.12223764513536595</v>
      </c>
      <c r="DD17" s="12"/>
      <c r="DN17" s="12"/>
      <c r="DU17" s="12"/>
      <c r="DV17" s="12"/>
      <c r="DW17" s="12"/>
      <c r="DX17" s="12"/>
      <c r="DY17" s="12"/>
      <c r="ER17" s="266"/>
      <c r="FH17" s="266"/>
      <c r="FJ17" s="222">
        <f t="shared" si="78"/>
        <v>12</v>
      </c>
      <c r="FK17" s="242"/>
      <c r="FL17" s="877" t="s">
        <v>217</v>
      </c>
      <c r="FM17" s="650">
        <v>71670.960000000006</v>
      </c>
      <c r="FN17" s="650">
        <v>145385.94</v>
      </c>
      <c r="FO17" s="650">
        <v>289455.99114000006</v>
      </c>
      <c r="FP17" s="794">
        <f t="shared" si="21"/>
        <v>506512.89114000008</v>
      </c>
      <c r="FQ17" s="650">
        <v>72769.460000000006</v>
      </c>
      <c r="FR17" s="650">
        <v>145385.94</v>
      </c>
      <c r="FS17" s="650">
        <v>299604.49114000006</v>
      </c>
      <c r="FT17" s="650">
        <v>517759.89114000008</v>
      </c>
      <c r="FU17" s="955">
        <v>517759.89114000008</v>
      </c>
      <c r="FV17" s="16"/>
      <c r="FW17" s="266"/>
      <c r="GZ17" s="222">
        <v>12</v>
      </c>
      <c r="HA17" s="663">
        <v>12</v>
      </c>
      <c r="HB17" s="999">
        <v>10</v>
      </c>
      <c r="HC17" s="999">
        <v>11</v>
      </c>
      <c r="HD17" s="682">
        <v>93723945</v>
      </c>
      <c r="HE17" s="682">
        <v>102676361</v>
      </c>
      <c r="HF17" s="724">
        <f t="shared" si="22"/>
        <v>1.1000000000000001</v>
      </c>
      <c r="HG17" s="724">
        <f t="shared" si="23"/>
        <v>1.0955189839693582</v>
      </c>
      <c r="HH17" s="723">
        <v>0</v>
      </c>
      <c r="HI17" s="723">
        <v>1</v>
      </c>
      <c r="HJ17" s="723">
        <v>0</v>
      </c>
      <c r="HN17" s="243">
        <v>12</v>
      </c>
      <c r="HO17" s="891">
        <v>12</v>
      </c>
      <c r="HP17" s="793">
        <f t="shared" si="2"/>
        <v>1.0955189839693582</v>
      </c>
      <c r="HQ17" s="650">
        <v>2130.3900000000003</v>
      </c>
      <c r="HR17" s="794">
        <f t="shared" si="24"/>
        <v>2333.8826882584813</v>
      </c>
      <c r="HS17" s="650">
        <v>10172010</v>
      </c>
      <c r="HT17" s="975">
        <v>11151822</v>
      </c>
      <c r="HU17" s="650">
        <v>4623167.0237000007</v>
      </c>
      <c r="HV17" s="975">
        <v>5554330</v>
      </c>
      <c r="HW17" s="650">
        <v>225000</v>
      </c>
      <c r="HX17" s="955">
        <v>247500</v>
      </c>
      <c r="HY17" s="650">
        <f t="shared" si="25"/>
        <v>4850297.4137000004</v>
      </c>
      <c r="HZ17" s="650">
        <f t="shared" si="25"/>
        <v>5804163.8826882588</v>
      </c>
      <c r="IA17" s="206"/>
      <c r="IB17" s="207"/>
      <c r="IC17" s="206"/>
      <c r="ID17" s="244">
        <v>12</v>
      </c>
      <c r="IE17" s="891">
        <v>12</v>
      </c>
      <c r="IF17" s="899">
        <f t="shared" si="3"/>
        <v>1.1000000000000001</v>
      </c>
      <c r="IG17" s="900">
        <f t="shared" si="3"/>
        <v>1.0955189839693582</v>
      </c>
      <c r="IH17" s="955">
        <v>1443100.8181646655</v>
      </c>
      <c r="II17" s="794">
        <f t="shared" si="64"/>
        <v>1580944.3420811039</v>
      </c>
      <c r="IJ17" s="955">
        <v>92334.995999999999</v>
      </c>
      <c r="IK17" s="794">
        <f t="shared" si="26"/>
        <v>101154.74100273475</v>
      </c>
      <c r="IL17" s="955">
        <v>908913.26583533478</v>
      </c>
      <c r="IM17" s="794">
        <f t="shared" si="82"/>
        <v>999804.59241886833</v>
      </c>
      <c r="IN17" s="955">
        <v>1011478.181640237</v>
      </c>
      <c r="IO17" s="995">
        <v>1058208.4193069371</v>
      </c>
      <c r="IP17" s="955">
        <v>90683.825499999977</v>
      </c>
      <c r="IQ17" s="794">
        <f t="shared" si="27"/>
        <v>99345.852374214548</v>
      </c>
      <c r="IR17" s="955">
        <v>80296.399749999982</v>
      </c>
      <c r="IS17" s="794">
        <f t="shared" si="28"/>
        <v>87966.230270517408</v>
      </c>
      <c r="IT17" s="955">
        <v>143266.49</v>
      </c>
      <c r="IU17" s="794">
        <f t="shared" si="29"/>
        <v>156951.15956165621</v>
      </c>
      <c r="IV17" s="955">
        <v>581779.38425</v>
      </c>
      <c r="IW17" s="794">
        <f t="shared" si="30"/>
        <v>637350.35992787883</v>
      </c>
      <c r="IX17" s="650">
        <f t="shared" si="31"/>
        <v>4351853.3611402372</v>
      </c>
      <c r="IY17" s="650">
        <f t="shared" si="31"/>
        <v>4721725.6969439117</v>
      </c>
      <c r="IZ17" s="683">
        <f t="shared" si="4"/>
        <v>4.5986492421015113</v>
      </c>
      <c r="JD17" s="222">
        <v>12</v>
      </c>
      <c r="JE17" s="663">
        <v>12</v>
      </c>
      <c r="JF17" s="660">
        <f t="shared" si="5"/>
        <v>11</v>
      </c>
      <c r="JG17" s="660">
        <f t="shared" si="32"/>
        <v>11</v>
      </c>
      <c r="JH17" s="905">
        <f t="shared" si="6"/>
        <v>102676361</v>
      </c>
      <c r="JI17" s="905">
        <f t="shared" si="83"/>
        <v>102258071.87459445</v>
      </c>
      <c r="JJ17" s="906">
        <f t="shared" si="33"/>
        <v>1</v>
      </c>
      <c r="JK17" s="906">
        <f t="shared" si="34"/>
        <v>0.99592613994758195</v>
      </c>
      <c r="JL17" s="906">
        <f t="shared" si="35"/>
        <v>1.0278648528416663</v>
      </c>
      <c r="JM17" s="663" t="s">
        <v>238</v>
      </c>
      <c r="JN17" s="209"/>
      <c r="JO17" s="210"/>
      <c r="JP17" s="209"/>
      <c r="JQ17" s="222">
        <v>12</v>
      </c>
      <c r="JR17" s="663">
        <v>12</v>
      </c>
      <c r="JS17" s="914" t="str">
        <f t="shared" si="7"/>
        <v>Q3</v>
      </c>
      <c r="JT17" s="913">
        <f t="shared" si="8"/>
        <v>1.0278648528416663</v>
      </c>
      <c r="JU17" s="671">
        <f t="shared" si="36"/>
        <v>2333.8826882584813</v>
      </c>
      <c r="JV17" s="671">
        <f t="shared" si="37"/>
        <v>2398.9159859165165</v>
      </c>
      <c r="JW17" s="671">
        <f t="shared" si="9"/>
        <v>11151822</v>
      </c>
      <c r="JX17" s="671">
        <f t="shared" si="38"/>
        <v>11282246.18077838</v>
      </c>
      <c r="JY17" s="671">
        <f t="shared" si="10"/>
        <v>5554330</v>
      </c>
      <c r="JZ17" s="671">
        <f t="shared" si="11"/>
        <v>5065929.2054630667</v>
      </c>
      <c r="KA17" s="671">
        <f t="shared" si="39"/>
        <v>247500</v>
      </c>
      <c r="KB17" s="671">
        <f t="shared" si="40"/>
        <v>222267.8596009273</v>
      </c>
      <c r="KC17" s="671">
        <f t="shared" si="41"/>
        <v>5804163.8826882588</v>
      </c>
      <c r="KD17" s="671">
        <f t="shared" si="41"/>
        <v>5290595.9810499111</v>
      </c>
      <c r="KE17" s="211"/>
      <c r="KF17" s="210"/>
      <c r="KG17" s="209"/>
      <c r="KH17" s="245">
        <f t="shared" si="65"/>
        <v>12</v>
      </c>
      <c r="KI17" s="917">
        <v>11</v>
      </c>
      <c r="KJ17" s="918">
        <f t="shared" si="66"/>
        <v>1</v>
      </c>
      <c r="KK17" s="918">
        <f t="shared" si="66"/>
        <v>0.99592613994758183</v>
      </c>
      <c r="KL17" s="898">
        <v>1.6406666700000001</v>
      </c>
      <c r="KM17" s="801">
        <f t="shared" si="67"/>
        <v>1520998.9651012861</v>
      </c>
      <c r="KN17" s="898">
        <v>1.6406666700000001</v>
      </c>
      <c r="KO17" s="801">
        <f t="shared" si="42"/>
        <v>88324.469962115152</v>
      </c>
      <c r="KP17" s="898">
        <v>1.6406666700000001</v>
      </c>
      <c r="KQ17" s="801">
        <f t="shared" si="43"/>
        <v>724132.01486431516</v>
      </c>
      <c r="KR17" s="898">
        <v>1.6406666700000001</v>
      </c>
      <c r="KS17" s="801">
        <f t="shared" si="68"/>
        <v>1145645.4294126201</v>
      </c>
      <c r="KT17" s="898">
        <v>1.6406666700000001</v>
      </c>
      <c r="KU17" s="801">
        <f t="shared" si="44"/>
        <v>123280.94302076011</v>
      </c>
      <c r="KV17" s="898">
        <v>1.6406666700000001</v>
      </c>
      <c r="KW17" s="801">
        <f t="shared" si="45"/>
        <v>66408.522286961233</v>
      </c>
      <c r="KX17" s="898">
        <v>1.6406666700000001</v>
      </c>
      <c r="KY17" s="801">
        <f t="shared" si="46"/>
        <v>145073.78324009417</v>
      </c>
      <c r="KZ17" s="898">
        <v>1.6406666700000001</v>
      </c>
      <c r="LA17" s="919">
        <f t="shared" si="47"/>
        <v>399016.37181207025</v>
      </c>
      <c r="LB17" s="646">
        <f t="shared" si="48"/>
        <v>4044324.1200189614</v>
      </c>
      <c r="LC17" s="646">
        <f t="shared" si="79"/>
        <v>4212880.4997002222</v>
      </c>
      <c r="LD17" s="16"/>
      <c r="LE17" s="220"/>
      <c r="LG17" s="222">
        <v>12</v>
      </c>
      <c r="LH17" s="922">
        <v>12</v>
      </c>
      <c r="LI17" s="650">
        <f t="shared" si="12"/>
        <v>4850297.4137000004</v>
      </c>
      <c r="LJ17" s="650">
        <f t="shared" si="12"/>
        <v>5804163.8826882588</v>
      </c>
      <c r="LK17" s="794">
        <f t="shared" si="13"/>
        <v>5290595.9810499111</v>
      </c>
      <c r="LL17" s="650">
        <f t="shared" si="14"/>
        <v>4351853.3611402372</v>
      </c>
      <c r="LM17" s="650">
        <f t="shared" si="14"/>
        <v>4721725.6969439117</v>
      </c>
      <c r="LN17" s="794">
        <f t="shared" si="49"/>
        <v>4853295.8886479679</v>
      </c>
      <c r="LO17" s="650">
        <f t="shared" si="50"/>
        <v>498444.05255976319</v>
      </c>
      <c r="LP17" s="650">
        <f t="shared" si="50"/>
        <v>1082438.1857443471</v>
      </c>
      <c r="LQ17" s="650">
        <f t="shared" si="50"/>
        <v>437300.09240194317</v>
      </c>
      <c r="MA17" s="192">
        <f t="shared" si="80"/>
        <v>11</v>
      </c>
      <c r="MB17" s="814" t="s">
        <v>49</v>
      </c>
      <c r="MC17" s="860">
        <f t="shared" si="102"/>
        <v>25073716.728897151</v>
      </c>
      <c r="MD17" s="928">
        <f t="shared" si="103"/>
        <v>1.1474687229465925</v>
      </c>
      <c r="ME17" s="796"/>
      <c r="MF17" s="798">
        <f t="shared" si="104"/>
        <v>25073716.728897151</v>
      </c>
      <c r="MG17" s="928">
        <f t="shared" si="105"/>
        <v>1.1474687229465925</v>
      </c>
      <c r="MK17" s="192">
        <f t="shared" si="81"/>
        <v>11</v>
      </c>
      <c r="ML17" s="253" t="str">
        <f t="shared" si="53"/>
        <v>Building</v>
      </c>
      <c r="MM17" s="979">
        <v>22755368.059679482</v>
      </c>
      <c r="MN17" s="860">
        <f t="shared" si="106"/>
        <v>25073716.728897151</v>
      </c>
      <c r="MO17" s="860">
        <f t="shared" si="70"/>
        <v>2318348.6692176685</v>
      </c>
      <c r="MP17" s="802">
        <f t="shared" si="71"/>
        <v>0.10188139621110234</v>
      </c>
    </row>
    <row r="18" spans="1:357" s="29" customFormat="1" ht="16.5" x14ac:dyDescent="0.3">
      <c r="B18" s="181">
        <f t="shared" si="72"/>
        <v>13</v>
      </c>
      <c r="C18" s="251"/>
      <c r="D18" s="796" t="s">
        <v>52</v>
      </c>
      <c r="E18" s="797"/>
      <c r="F18" s="798">
        <f>EL9</f>
        <v>5900402.2061640006</v>
      </c>
      <c r="G18" s="799">
        <f t="shared" si="97"/>
        <v>0.28359490097923706</v>
      </c>
      <c r="H18" s="798">
        <f>EP9</f>
        <v>5942658.5173137691</v>
      </c>
      <c r="I18" s="800">
        <f t="shared" si="98"/>
        <v>0.28412965774054211</v>
      </c>
      <c r="J18" s="801">
        <f t="shared" si="54"/>
        <v>42256.311149768531</v>
      </c>
      <c r="K18" s="798">
        <f>IU26</f>
        <v>6168270.1152246939</v>
      </c>
      <c r="L18" s="800">
        <f t="shared" si="99"/>
        <v>0.28113353700806315</v>
      </c>
      <c r="M18" s="801">
        <f t="shared" si="55"/>
        <v>225611.59791092481</v>
      </c>
      <c r="N18" s="798">
        <f>KY27</f>
        <v>6344695.8707459979</v>
      </c>
      <c r="O18" s="800">
        <f t="shared" si="100"/>
        <v>0.29035743471963721</v>
      </c>
      <c r="P18" s="801">
        <f t="shared" si="56"/>
        <v>176425.75552130397</v>
      </c>
      <c r="Q18" s="798">
        <f t="shared" si="57"/>
        <v>444293.66458199732</v>
      </c>
      <c r="R18" s="802">
        <f t="shared" si="58"/>
        <v>2.3845752222799055E-2</v>
      </c>
      <c r="S18" s="12"/>
      <c r="T18" s="13"/>
      <c r="U18" s="12"/>
      <c r="V18" s="165">
        <f>V16+1</f>
        <v>9</v>
      </c>
      <c r="W18" s="805" t="s">
        <v>172</v>
      </c>
      <c r="X18" s="650">
        <f>SUMPRODUCT($LQ$6:$LQ$25,HH6:HH25)</f>
        <v>-3831994.222455164</v>
      </c>
      <c r="Y18" s="650">
        <f>SUMPRODUCT($LQ$6:$LQ$25,HI6:HI25)</f>
        <v>810996.26611925941</v>
      </c>
      <c r="Z18" s="650">
        <f>SUMPRODUCT($LQ$6:$LQ$25,HJ6:HJ25)</f>
        <v>6742613.924627156</v>
      </c>
      <c r="AA18" s="650">
        <f>SUM(X18:Z18)</f>
        <v>3721615.9682912515</v>
      </c>
      <c r="AB18" s="230"/>
      <c r="AC18" s="12"/>
      <c r="AD18" s="13"/>
      <c r="AE18" s="12"/>
      <c r="AF18" s="252">
        <f t="shared" si="73"/>
        <v>12</v>
      </c>
      <c r="AG18" s="191" t="s">
        <v>26</v>
      </c>
      <c r="AK18" s="12"/>
      <c r="AL18" s="299"/>
      <c r="AM18" s="12"/>
      <c r="AN18" s="312">
        <f t="shared" si="108"/>
        <v>13</v>
      </c>
      <c r="AO18" s="313"/>
      <c r="AP18" s="314"/>
      <c r="AQ18" s="843" t="s">
        <v>53</v>
      </c>
      <c r="AR18" s="844"/>
      <c r="AS18" s="845">
        <v>5928822.8260000004</v>
      </c>
      <c r="AT18" s="846">
        <v>0.57815077141840288</v>
      </c>
      <c r="AU18" s="847"/>
      <c r="AV18" s="845">
        <v>3792013.7597000003</v>
      </c>
      <c r="AW18" s="846">
        <v>0.35137968141626907</v>
      </c>
      <c r="AX18" s="848">
        <f t="shared" si="87"/>
        <v>-0.39223521132002692</v>
      </c>
      <c r="AY18" s="847"/>
      <c r="AZ18" s="845">
        <v>5238845.7033359464</v>
      </c>
      <c r="BA18" s="846">
        <v>0.40606900530629209</v>
      </c>
      <c r="BB18" s="848">
        <f t="shared" si="88"/>
        <v>0.15564167987628807</v>
      </c>
      <c r="BC18" s="847"/>
      <c r="BD18" s="845">
        <v>5407089.8699504221</v>
      </c>
      <c r="BE18" s="846">
        <v>0.36767645852816944</v>
      </c>
      <c r="BF18" s="848">
        <f t="shared" si="89"/>
        <v>-9.4546853555502741E-2</v>
      </c>
      <c r="BG18" s="847"/>
      <c r="BH18" s="845">
        <v>7543565.8774000006</v>
      </c>
      <c r="BI18" s="846">
        <v>0.49640433719995791</v>
      </c>
      <c r="BJ18" s="848">
        <f t="shared" si="90"/>
        <v>0.3501118325255137</v>
      </c>
      <c r="BK18" s="847"/>
      <c r="BL18" s="845">
        <v>8178976.4044999983</v>
      </c>
      <c r="BM18" s="846">
        <v>0.48622711326046231</v>
      </c>
      <c r="BN18" s="848">
        <f t="shared" si="91"/>
        <v>-2.050188359936933E-2</v>
      </c>
      <c r="BO18" s="847"/>
      <c r="BP18" s="845">
        <v>9693134.9169999994</v>
      </c>
      <c r="BQ18" s="846">
        <v>0.52259989598697731</v>
      </c>
      <c r="BR18" s="848">
        <f t="shared" si="92"/>
        <v>7.4806158962654967E-2</v>
      </c>
      <c r="BS18" s="847"/>
      <c r="BT18" s="843">
        <v>9228973</v>
      </c>
      <c r="BU18" s="843">
        <v>0.47</v>
      </c>
      <c r="BV18" s="843">
        <f t="shared" si="93"/>
        <v>-0.10065041419045384</v>
      </c>
      <c r="BW18" s="315">
        <v>10423908.153099999</v>
      </c>
      <c r="BX18" s="316">
        <v>0.53850471411588496</v>
      </c>
      <c r="BY18" s="849">
        <f t="shared" si="60"/>
        <v>0.14575471088486158</v>
      </c>
      <c r="BZ18" s="849">
        <v>10530651.726950001</v>
      </c>
      <c r="CA18" s="849">
        <v>0.51623445214666785</v>
      </c>
      <c r="CB18" s="849">
        <f t="shared" si="61"/>
        <v>-4.1355741900570675E-2</v>
      </c>
      <c r="CC18" s="957">
        <v>10262021.9365</v>
      </c>
      <c r="CD18" s="957">
        <v>0.49374890570281921</v>
      </c>
      <c r="CE18" s="802">
        <f t="shared" si="101"/>
        <v>-4.3556849703359712E-2</v>
      </c>
      <c r="CF18" s="850">
        <f t="shared" ref="CF18:CG20" si="109">F20</f>
        <v>12400752.312759999</v>
      </c>
      <c r="CG18" s="849">
        <f t="shared" si="109"/>
        <v>0.59602549136926886</v>
      </c>
      <c r="CH18" s="802">
        <f t="shared" si="95"/>
        <v>0.20714291107312044</v>
      </c>
      <c r="CI18" s="851">
        <f t="shared" si="63"/>
        <v>1.0916044679861714</v>
      </c>
      <c r="CJ18" s="802">
        <f t="shared" si="96"/>
        <v>4.1848138382024169E-2</v>
      </c>
      <c r="CK18" s="12"/>
      <c r="CL18" s="13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3"/>
      <c r="CZ18" s="12"/>
      <c r="DA18" s="12"/>
      <c r="DB18" s="12"/>
      <c r="DC18" s="12"/>
      <c r="DD18" s="12"/>
      <c r="DE18" s="12"/>
      <c r="DF18" s="12"/>
      <c r="DG18" s="12"/>
      <c r="DH18" s="12"/>
      <c r="DI18" s="13"/>
      <c r="DJ18" s="12"/>
      <c r="DK18" s="12"/>
      <c r="DL18" s="12"/>
      <c r="DM18" s="12"/>
      <c r="DN18" s="12"/>
      <c r="DO18" s="12"/>
      <c r="DP18" s="12"/>
      <c r="DQ18" s="12"/>
      <c r="DR18" s="1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3"/>
      <c r="EF18" s="12"/>
      <c r="EG18" s="12"/>
      <c r="EH18" s="12"/>
      <c r="EI18" s="12"/>
      <c r="EJ18" s="12"/>
      <c r="EK18" s="12"/>
      <c r="EL18" s="232"/>
      <c r="EM18" s="12"/>
      <c r="EN18" s="12"/>
      <c r="EO18" s="12"/>
      <c r="EP18" s="12"/>
      <c r="EQ18" s="12"/>
      <c r="ER18" s="266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266"/>
      <c r="FI18" s="12"/>
      <c r="FJ18" s="192">
        <f t="shared" si="78"/>
        <v>13</v>
      </c>
      <c r="FK18" s="265"/>
      <c r="FL18" s="878" t="s">
        <v>218</v>
      </c>
      <c r="FM18" s="860">
        <v>46359.069999999985</v>
      </c>
      <c r="FN18" s="860">
        <v>56738.55999999999</v>
      </c>
      <c r="FO18" s="860">
        <v>59444.51999999999</v>
      </c>
      <c r="FP18" s="801">
        <f t="shared" si="21"/>
        <v>162542.14999999997</v>
      </c>
      <c r="FQ18" s="860">
        <v>46359.069999999985</v>
      </c>
      <c r="FR18" s="860">
        <v>56738.55999999999</v>
      </c>
      <c r="FS18" s="860">
        <v>59660.01999999999</v>
      </c>
      <c r="FT18" s="860">
        <v>162757.64999999997</v>
      </c>
      <c r="FU18" s="955">
        <v>162757.64999999997</v>
      </c>
      <c r="FV18" s="16"/>
      <c r="FW18" s="266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3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3"/>
      <c r="GX18" s="12"/>
      <c r="GY18" s="12"/>
      <c r="GZ18" s="192">
        <v>13</v>
      </c>
      <c r="HA18" s="886">
        <v>13</v>
      </c>
      <c r="HB18" s="886">
        <v>10</v>
      </c>
      <c r="HC18" s="886">
        <v>10</v>
      </c>
      <c r="HD18" s="887">
        <v>107393163</v>
      </c>
      <c r="HE18" s="887">
        <v>109881634</v>
      </c>
      <c r="HF18" s="800">
        <f t="shared" si="22"/>
        <v>1</v>
      </c>
      <c r="HG18" s="800">
        <f t="shared" si="23"/>
        <v>1.023171596128517</v>
      </c>
      <c r="HH18" s="802">
        <v>0</v>
      </c>
      <c r="HI18" s="802">
        <v>1</v>
      </c>
      <c r="HJ18" s="802">
        <v>0</v>
      </c>
      <c r="HK18" s="12"/>
      <c r="HL18" s="13"/>
      <c r="HM18" s="12"/>
      <c r="HN18" s="267">
        <v>13</v>
      </c>
      <c r="HO18" s="892">
        <v>13</v>
      </c>
      <c r="HP18" s="799">
        <f t="shared" si="2"/>
        <v>1.023171596128517</v>
      </c>
      <c r="HQ18" s="860">
        <v>27775.331600000001</v>
      </c>
      <c r="HR18" s="801">
        <f t="shared" si="24"/>
        <v>28418.93036617084</v>
      </c>
      <c r="HS18" s="860">
        <v>11862742</v>
      </c>
      <c r="HT18" s="975">
        <v>12146248</v>
      </c>
      <c r="HU18" s="860">
        <v>5631426.6320999991</v>
      </c>
      <c r="HV18" s="975">
        <v>6209842</v>
      </c>
      <c r="HW18" s="860">
        <v>225000</v>
      </c>
      <c r="HX18" s="955">
        <v>225000</v>
      </c>
      <c r="HY18" s="860">
        <f t="shared" si="25"/>
        <v>5884201.9636999993</v>
      </c>
      <c r="HZ18" s="860">
        <f t="shared" si="25"/>
        <v>6463260.9303661706</v>
      </c>
      <c r="IA18" s="206"/>
      <c r="IB18" s="207"/>
      <c r="IC18" s="206"/>
      <c r="ID18" s="208">
        <v>13</v>
      </c>
      <c r="IE18" s="892">
        <v>13</v>
      </c>
      <c r="IF18" s="896">
        <f t="shared" si="3"/>
        <v>1</v>
      </c>
      <c r="IG18" s="897">
        <f t="shared" si="3"/>
        <v>1.023171596128517</v>
      </c>
      <c r="IH18" s="955">
        <v>2205203.5761924665</v>
      </c>
      <c r="II18" s="801">
        <f t="shared" si="64"/>
        <v>2256301.6628411599</v>
      </c>
      <c r="IJ18" s="955">
        <v>67547.691000000006</v>
      </c>
      <c r="IK18" s="801">
        <f t="shared" si="26"/>
        <v>69112.878815265867</v>
      </c>
      <c r="IL18" s="955">
        <v>1259192.0478075333</v>
      </c>
      <c r="IM18" s="801">
        <f t="shared" si="82"/>
        <v>1259192.0478075333</v>
      </c>
      <c r="IN18" s="955">
        <v>1272524.4114888334</v>
      </c>
      <c r="IO18" s="995">
        <v>1272524.4114888334</v>
      </c>
      <c r="IP18" s="955">
        <v>139071.08429999999</v>
      </c>
      <c r="IQ18" s="801">
        <f t="shared" si="27"/>
        <v>142293.58329855453</v>
      </c>
      <c r="IR18" s="955">
        <v>69474.350399999981</v>
      </c>
      <c r="IS18" s="801">
        <f t="shared" si="28"/>
        <v>71084.181988759854</v>
      </c>
      <c r="IT18" s="955">
        <v>183955.41</v>
      </c>
      <c r="IU18" s="801">
        <f t="shared" si="29"/>
        <v>188217.95046617577</v>
      </c>
      <c r="IV18" s="955">
        <v>549829.40595000004</v>
      </c>
      <c r="IW18" s="801">
        <f t="shared" si="30"/>
        <v>562569.83088425593</v>
      </c>
      <c r="IX18" s="860">
        <f t="shared" si="31"/>
        <v>5746797.9771388331</v>
      </c>
      <c r="IY18" s="860">
        <f t="shared" si="31"/>
        <v>5821296.5475905379</v>
      </c>
      <c r="IZ18" s="898">
        <f t="shared" si="4"/>
        <v>5.2977884799115182</v>
      </c>
      <c r="JA18" s="12"/>
      <c r="JB18" s="13"/>
      <c r="JC18" s="12"/>
      <c r="JD18" s="192">
        <v>13</v>
      </c>
      <c r="JE18" s="886">
        <v>13</v>
      </c>
      <c r="JF18" s="796">
        <f t="shared" si="5"/>
        <v>10</v>
      </c>
      <c r="JG18" s="804">
        <f t="shared" si="32"/>
        <v>10</v>
      </c>
      <c r="JH18" s="859">
        <f t="shared" si="6"/>
        <v>109881634</v>
      </c>
      <c r="JI18" s="859">
        <f t="shared" si="83"/>
        <v>109433991.60075298</v>
      </c>
      <c r="JJ18" s="904">
        <f t="shared" si="33"/>
        <v>1</v>
      </c>
      <c r="JK18" s="904">
        <f t="shared" si="34"/>
        <v>0.99592613994758195</v>
      </c>
      <c r="JL18" s="904">
        <f t="shared" si="35"/>
        <v>1.0278608471723147</v>
      </c>
      <c r="JM18" s="886" t="s">
        <v>238</v>
      </c>
      <c r="JN18" s="209"/>
      <c r="JO18" s="210"/>
      <c r="JP18" s="209"/>
      <c r="JQ18" s="192">
        <v>13</v>
      </c>
      <c r="JR18" s="886">
        <v>13</v>
      </c>
      <c r="JS18" s="910" t="str">
        <f t="shared" si="7"/>
        <v>Q3</v>
      </c>
      <c r="JT18" s="911">
        <f t="shared" si="8"/>
        <v>1.0278608471723147</v>
      </c>
      <c r="JU18" s="860">
        <f t="shared" si="36"/>
        <v>28418.93036617084</v>
      </c>
      <c r="JV18" s="860">
        <f t="shared" si="37"/>
        <v>29210.705841903382</v>
      </c>
      <c r="JW18" s="860">
        <f t="shared" si="9"/>
        <v>12146248</v>
      </c>
      <c r="JX18" s="860">
        <f t="shared" si="38"/>
        <v>12073973.341674894</v>
      </c>
      <c r="JY18" s="860">
        <f t="shared" si="10"/>
        <v>6209842</v>
      </c>
      <c r="JZ18" s="860">
        <f t="shared" si="11"/>
        <v>5421428.7826640401</v>
      </c>
      <c r="KA18" s="860">
        <f t="shared" si="39"/>
        <v>225000</v>
      </c>
      <c r="KB18" s="860">
        <f t="shared" si="40"/>
        <v>237865.41868807055</v>
      </c>
      <c r="KC18" s="860">
        <f t="shared" si="41"/>
        <v>6463260.9303661706</v>
      </c>
      <c r="KD18" s="860">
        <f t="shared" si="41"/>
        <v>5688504.9071940146</v>
      </c>
      <c r="KE18" s="211"/>
      <c r="KF18" s="210"/>
      <c r="KG18" s="209"/>
      <c r="KH18" s="243">
        <f t="shared" si="65"/>
        <v>13</v>
      </c>
      <c r="KI18" s="891">
        <v>12</v>
      </c>
      <c r="KJ18" s="920">
        <f t="shared" si="66"/>
        <v>1</v>
      </c>
      <c r="KK18" s="920">
        <f t="shared" si="66"/>
        <v>0.99592613994758195</v>
      </c>
      <c r="KL18" s="683">
        <v>1.6626666699999999</v>
      </c>
      <c r="KM18" s="794">
        <f t="shared" si="67"/>
        <v>1622105.0766978867</v>
      </c>
      <c r="KN18" s="683">
        <v>1.6626666699999999</v>
      </c>
      <c r="KO18" s="794">
        <f t="shared" si="42"/>
        <v>103788.35898587141</v>
      </c>
      <c r="KP18" s="683">
        <v>1.6626666699999999</v>
      </c>
      <c r="KQ18" s="794">
        <f t="shared" si="43"/>
        <v>1030031.2448311668</v>
      </c>
      <c r="KR18" s="683">
        <v>1.6626666699999999</v>
      </c>
      <c r="KS18" s="794">
        <f t="shared" si="68"/>
        <v>1090200.7689247492</v>
      </c>
      <c r="KT18" s="683">
        <v>1.6626666699999999</v>
      </c>
      <c r="KU18" s="794">
        <f t="shared" si="44"/>
        <v>101932.37497087364</v>
      </c>
      <c r="KV18" s="683">
        <v>1.6626666699999999</v>
      </c>
      <c r="KW18" s="794">
        <f t="shared" si="45"/>
        <v>90256.47829698323</v>
      </c>
      <c r="KX18" s="683">
        <v>1.6626666699999999</v>
      </c>
      <c r="KY18" s="794">
        <f t="shared" si="46"/>
        <v>161037.46725418989</v>
      </c>
      <c r="KZ18" s="683">
        <v>1.6626666699999999</v>
      </c>
      <c r="LA18" s="794">
        <f t="shared" si="47"/>
        <v>653944.11868624785</v>
      </c>
      <c r="LB18" s="650">
        <f t="shared" si="48"/>
        <v>4721725.6969439117</v>
      </c>
      <c r="LC18" s="650">
        <f t="shared" si="79"/>
        <v>4853295.8886479679</v>
      </c>
      <c r="LD18" s="16"/>
      <c r="LE18" s="220"/>
      <c r="LF18" s="12"/>
      <c r="LG18" s="192">
        <v>13</v>
      </c>
      <c r="LH18" s="921">
        <v>13</v>
      </c>
      <c r="LI18" s="860">
        <f t="shared" si="12"/>
        <v>5884201.9636999993</v>
      </c>
      <c r="LJ18" s="860">
        <f t="shared" si="12"/>
        <v>6463260.9303661706</v>
      </c>
      <c r="LK18" s="801">
        <f t="shared" si="13"/>
        <v>5688504.9071940146</v>
      </c>
      <c r="LL18" s="860">
        <f t="shared" si="14"/>
        <v>5746797.9771388331</v>
      </c>
      <c r="LM18" s="860">
        <f t="shared" si="14"/>
        <v>5821296.5475905379</v>
      </c>
      <c r="LN18" s="801">
        <f t="shared" si="49"/>
        <v>5983482.8010476818</v>
      </c>
      <c r="LO18" s="860">
        <f t="shared" si="50"/>
        <v>137403.98656116612</v>
      </c>
      <c r="LP18" s="860">
        <f t="shared" si="50"/>
        <v>641964.38277563266</v>
      </c>
      <c r="LQ18" s="860">
        <f t="shared" si="50"/>
        <v>-294977.89385366719</v>
      </c>
      <c r="LR18" s="12"/>
      <c r="LS18" s="13"/>
      <c r="LT18" s="12"/>
      <c r="LU18" s="12"/>
      <c r="LV18" s="12"/>
      <c r="LW18" s="12"/>
      <c r="LX18" s="12"/>
      <c r="LY18" s="13"/>
      <c r="LZ18" s="12"/>
      <c r="MA18" s="222">
        <f t="shared" si="80"/>
        <v>12</v>
      </c>
      <c r="MB18" s="812" t="s">
        <v>52</v>
      </c>
      <c r="MC18" s="650">
        <f t="shared" si="102"/>
        <v>6344695.8707459979</v>
      </c>
      <c r="MD18" s="747">
        <f t="shared" si="103"/>
        <v>0.29035743471963721</v>
      </c>
      <c r="ME18" s="660"/>
      <c r="MF18" s="792">
        <f t="shared" si="104"/>
        <v>6344695.8707459979</v>
      </c>
      <c r="MG18" s="747">
        <f t="shared" si="105"/>
        <v>0.29035743471963721</v>
      </c>
      <c r="MH18" s="12"/>
      <c r="MI18" s="13"/>
      <c r="MJ18" s="12"/>
      <c r="MK18" s="222">
        <f t="shared" si="81"/>
        <v>12</v>
      </c>
      <c r="ML18" s="231" t="str">
        <f t="shared" si="53"/>
        <v>Equipment</v>
      </c>
      <c r="MM18" s="979">
        <v>5448128.1456260383</v>
      </c>
      <c r="MN18" s="650">
        <f t="shared" si="106"/>
        <v>6344695.8707459979</v>
      </c>
      <c r="MO18" s="650">
        <f t="shared" si="70"/>
        <v>896567.72511995956</v>
      </c>
      <c r="MP18" s="823">
        <f t="shared" si="71"/>
        <v>0.1645643606675731</v>
      </c>
      <c r="MQ18" s="12"/>
      <c r="MR18" s="13"/>
      <c r="MS18" s="12"/>
    </row>
    <row r="19" spans="1:357" ht="16.5" x14ac:dyDescent="0.3">
      <c r="B19" s="143">
        <f t="shared" si="72"/>
        <v>14</v>
      </c>
      <c r="C19" s="223"/>
      <c r="D19" s="660" t="s">
        <v>50</v>
      </c>
      <c r="E19" s="791"/>
      <c r="F19" s="792">
        <f>EY9</f>
        <v>3796647.1770000006</v>
      </c>
      <c r="G19" s="793">
        <f t="shared" si="97"/>
        <v>0.1824807432770606</v>
      </c>
      <c r="H19" s="792">
        <f>FF9</f>
        <v>3622420.2399469693</v>
      </c>
      <c r="I19" s="724">
        <f t="shared" si="98"/>
        <v>0.17319471074602244</v>
      </c>
      <c r="J19" s="794">
        <f t="shared" si="54"/>
        <v>-174226.93705303129</v>
      </c>
      <c r="K19" s="792">
        <f>IQ26+IS26</f>
        <v>3898827.7473696326</v>
      </c>
      <c r="L19" s="724">
        <f t="shared" si="99"/>
        <v>0.17769831967925684</v>
      </c>
      <c r="M19" s="794">
        <f t="shared" si="55"/>
        <v>276407.50742266327</v>
      </c>
      <c r="N19" s="792">
        <f>KU27+KW27</f>
        <v>4015004.4093427504</v>
      </c>
      <c r="O19" s="724">
        <f t="shared" si="100"/>
        <v>0.18374188525883151</v>
      </c>
      <c r="P19" s="794">
        <f t="shared" si="56"/>
        <v>116176.66197311785</v>
      </c>
      <c r="Q19" s="792">
        <f t="shared" si="57"/>
        <v>218357.23234274983</v>
      </c>
      <c r="R19" s="723">
        <f t="shared" si="58"/>
        <v>6.9110962566396594E-3</v>
      </c>
      <c r="V19" s="252">
        <f t="shared" si="59"/>
        <v>10</v>
      </c>
      <c r="W19" s="806" t="s">
        <v>179</v>
      </c>
      <c r="X19" s="800">
        <f>X18/N$24*100</f>
        <v>-0.17536664246157618</v>
      </c>
      <c r="Y19" s="800">
        <f>Y18/N$24*100</f>
        <v>3.7114276270251739E-2</v>
      </c>
      <c r="Z19" s="800">
        <f>Z18/N$24*100</f>
        <v>0.30856767957728054</v>
      </c>
      <c r="AA19" s="800">
        <f>AA18/N$24*100</f>
        <v>0.17031531338595612</v>
      </c>
      <c r="AB19" s="227"/>
      <c r="AC19" s="233"/>
      <c r="AF19" s="165">
        <f t="shared" si="73"/>
        <v>13</v>
      </c>
      <c r="AG19" s="812" t="s">
        <v>77</v>
      </c>
      <c r="AH19" s="813">
        <f>AH15*KK27</f>
        <v>1848330.1649806425</v>
      </c>
      <c r="AI19" s="813">
        <f>AI15*KK27</f>
        <v>91829.745704538393</v>
      </c>
      <c r="AJ19" s="813">
        <f>AJ15*KJ27</f>
        <v>585111.37535486498</v>
      </c>
      <c r="AL19" s="299"/>
      <c r="AN19" s="222">
        <f t="shared" si="108"/>
        <v>14</v>
      </c>
      <c r="AO19" s="2"/>
      <c r="AP19" s="317" t="s">
        <v>59</v>
      </c>
      <c r="AQ19" s="5"/>
      <c r="AR19" s="224"/>
      <c r="AS19" s="233">
        <v>32802383.3928</v>
      </c>
      <c r="AT19" s="234">
        <v>3.1987333437832652</v>
      </c>
      <c r="AU19" s="235"/>
      <c r="AV19" s="233">
        <v>36250313.730549999</v>
      </c>
      <c r="AW19" s="234">
        <v>3.359065788539803</v>
      </c>
      <c r="AX19" s="236">
        <f t="shared" si="87"/>
        <v>5.012372946564736E-2</v>
      </c>
      <c r="AY19" s="235"/>
      <c r="AZ19" s="233">
        <v>43223045.707989462</v>
      </c>
      <c r="BA19" s="234">
        <v>3.3502683932407789</v>
      </c>
      <c r="BB19" s="236">
        <f t="shared" si="88"/>
        <v>-2.6190005950578188E-3</v>
      </c>
      <c r="BC19" s="235"/>
      <c r="BD19" s="233">
        <v>49380961.369565383</v>
      </c>
      <c r="BE19" s="234">
        <v>3.3578537497555252</v>
      </c>
      <c r="BF19" s="236">
        <f t="shared" si="89"/>
        <v>2.2641041326867395E-3</v>
      </c>
      <c r="BG19" s="235"/>
      <c r="BH19" s="233">
        <v>57308507.547660008</v>
      </c>
      <c r="BI19" s="234">
        <v>3.7711862224659241</v>
      </c>
      <c r="BJ19" s="236">
        <f t="shared" si="90"/>
        <v>0.12309424516791179</v>
      </c>
      <c r="BK19" s="235"/>
      <c r="BL19" s="233">
        <v>61753474.575707734</v>
      </c>
      <c r="BM19" s="234">
        <v>3.6711456534132534</v>
      </c>
      <c r="BN19" s="236">
        <f t="shared" si="91"/>
        <v>-2.6527613103989212E-2</v>
      </c>
      <c r="BO19" s="235"/>
      <c r="BP19" s="233">
        <v>74174917.572400004</v>
      </c>
      <c r="BQ19" s="234">
        <v>3.9990987993156044</v>
      </c>
      <c r="BR19" s="236">
        <f t="shared" si="92"/>
        <v>8.9332643502563425E-2</v>
      </c>
      <c r="BS19" s="235"/>
      <c r="BT19" s="12">
        <v>83233170</v>
      </c>
      <c r="BU19" s="12">
        <v>4.24</v>
      </c>
      <c r="BV19" s="12">
        <f t="shared" si="93"/>
        <v>6.0238871999267252E-2</v>
      </c>
      <c r="BW19" s="237">
        <v>91278660.188299984</v>
      </c>
      <c r="BX19" s="238">
        <v>4.7155047883804926</v>
      </c>
      <c r="BY19" s="239">
        <f t="shared" si="60"/>
        <v>0.11214735575011603</v>
      </c>
      <c r="BZ19" s="239">
        <v>96836161.677461118</v>
      </c>
      <c r="CA19" s="239">
        <v>4.7471100714133083</v>
      </c>
      <c r="CB19" s="239">
        <f t="shared" si="61"/>
        <v>6.7024177582630795E-3</v>
      </c>
      <c r="CC19" s="956">
        <v>99050498.270500004</v>
      </c>
      <c r="CD19" s="956">
        <v>4.7657348067469085</v>
      </c>
      <c r="CE19" s="852">
        <f t="shared" si="101"/>
        <v>3.923383922727286E-3</v>
      </c>
      <c r="CF19" s="792">
        <f t="shared" si="109"/>
        <v>104216563.686424</v>
      </c>
      <c r="CG19" s="824">
        <f t="shared" si="109"/>
        <v>5.0090290502861157</v>
      </c>
      <c r="CH19" s="852">
        <f t="shared" si="95"/>
        <v>5.1050730559907054E-2</v>
      </c>
      <c r="CI19" s="825">
        <f t="shared" si="63"/>
        <v>2.1771033963739095</v>
      </c>
      <c r="CJ19" s="852">
        <f t="shared" si="96"/>
        <v>6.6327551373152493E-2</v>
      </c>
      <c r="DD19" s="12"/>
      <c r="DN19" s="12"/>
      <c r="DU19" s="12"/>
      <c r="DV19" s="12"/>
      <c r="DW19" s="12"/>
      <c r="DX19" s="12"/>
      <c r="DY19" s="12"/>
      <c r="ER19" s="266"/>
      <c r="FH19" s="266"/>
      <c r="FJ19" s="222">
        <f t="shared" si="78"/>
        <v>14</v>
      </c>
      <c r="FK19" s="242"/>
      <c r="FL19" s="877" t="s">
        <v>219</v>
      </c>
      <c r="FM19" s="650">
        <v>77710.069000000003</v>
      </c>
      <c r="FN19" s="650">
        <v>100417.86000000002</v>
      </c>
      <c r="FO19" s="650">
        <v>103913.43999999997</v>
      </c>
      <c r="FP19" s="794">
        <f t="shared" si="21"/>
        <v>282041.36899999995</v>
      </c>
      <c r="FQ19" s="650">
        <v>77710.069000000003</v>
      </c>
      <c r="FR19" s="650">
        <v>100417.86000000002</v>
      </c>
      <c r="FS19" s="650">
        <v>103913.43999999997</v>
      </c>
      <c r="FT19" s="650">
        <v>282041.36900000001</v>
      </c>
      <c r="FU19" s="955">
        <v>282041.36900000001</v>
      </c>
      <c r="FV19" s="16"/>
      <c r="FW19" s="266"/>
      <c r="GZ19" s="222">
        <v>14</v>
      </c>
      <c r="HA19" s="663">
        <v>14</v>
      </c>
      <c r="HB19" s="663">
        <v>10</v>
      </c>
      <c r="HC19" s="663">
        <v>10</v>
      </c>
      <c r="HD19" s="682">
        <v>132064156</v>
      </c>
      <c r="HE19" s="682">
        <v>135102781</v>
      </c>
      <c r="HF19" s="724">
        <f t="shared" si="22"/>
        <v>1</v>
      </c>
      <c r="HG19" s="724">
        <f t="shared" si="23"/>
        <v>1.0230087034365327</v>
      </c>
      <c r="HH19" s="723">
        <v>0</v>
      </c>
      <c r="HI19" s="723">
        <v>0.8</v>
      </c>
      <c r="HJ19" s="723">
        <v>0.2</v>
      </c>
      <c r="HN19" s="243">
        <v>14</v>
      </c>
      <c r="HO19" s="891">
        <v>14</v>
      </c>
      <c r="HP19" s="793">
        <f t="shared" si="2"/>
        <v>1.0230087034365327</v>
      </c>
      <c r="HQ19" s="650">
        <v>1559</v>
      </c>
      <c r="HR19" s="794">
        <f t="shared" si="24"/>
        <v>1594.8705686575545</v>
      </c>
      <c r="HS19" s="650">
        <v>14594739</v>
      </c>
      <c r="HT19" s="975">
        <v>14929180</v>
      </c>
      <c r="HU19" s="650">
        <v>6813415.3312999997</v>
      </c>
      <c r="HV19" s="975">
        <v>7704857</v>
      </c>
      <c r="HW19" s="650">
        <v>225000</v>
      </c>
      <c r="HX19" s="955">
        <v>225000</v>
      </c>
      <c r="HY19" s="650">
        <f t="shared" si="25"/>
        <v>7039974.3312999997</v>
      </c>
      <c r="HZ19" s="650">
        <f t="shared" si="25"/>
        <v>7931451.8705686573</v>
      </c>
      <c r="IA19" s="206"/>
      <c r="IB19" s="207"/>
      <c r="IC19" s="206"/>
      <c r="ID19" s="244">
        <v>14</v>
      </c>
      <c r="IE19" s="891">
        <v>14</v>
      </c>
      <c r="IF19" s="899">
        <f t="shared" si="3"/>
        <v>1</v>
      </c>
      <c r="IG19" s="900">
        <f t="shared" si="3"/>
        <v>1.0230087034365327</v>
      </c>
      <c r="IH19" s="955">
        <v>2814805.8374684127</v>
      </c>
      <c r="II19" s="794">
        <f t="shared" si="64"/>
        <v>2879570.8702141447</v>
      </c>
      <c r="IJ19" s="955">
        <v>64094.05999999999</v>
      </c>
      <c r="IK19" s="794">
        <f t="shared" si="26"/>
        <v>65568.781218583317</v>
      </c>
      <c r="IL19" s="955">
        <v>1235568.3125315872</v>
      </c>
      <c r="IM19" s="794">
        <f t="shared" si="82"/>
        <v>1235568.3125315872</v>
      </c>
      <c r="IN19" s="955">
        <v>1503458.4280395084</v>
      </c>
      <c r="IO19" s="995">
        <v>1503458.4280395084</v>
      </c>
      <c r="IP19" s="955">
        <v>73355.464999999997</v>
      </c>
      <c r="IQ19" s="794">
        <f t="shared" si="27"/>
        <v>75043.279139633945</v>
      </c>
      <c r="IR19" s="955">
        <v>65086.974999999999</v>
      </c>
      <c r="IS19" s="794">
        <f t="shared" si="28"/>
        <v>66584.541905356018</v>
      </c>
      <c r="IT19" s="955">
        <v>265277.03000000003</v>
      </c>
      <c r="IU19" s="794">
        <f t="shared" si="29"/>
        <v>271380.7105117942</v>
      </c>
      <c r="IV19" s="955">
        <v>767825.7013999999</v>
      </c>
      <c r="IW19" s="794">
        <f t="shared" si="30"/>
        <v>785492.37525446026</v>
      </c>
      <c r="IX19" s="650">
        <f t="shared" si="31"/>
        <v>6789471.8094395082</v>
      </c>
      <c r="IY19" s="650">
        <f t="shared" si="31"/>
        <v>6882667.2988150679</v>
      </c>
      <c r="IZ19" s="683">
        <f t="shared" si="4"/>
        <v>5.0943935038724835</v>
      </c>
      <c r="JD19" s="222">
        <v>14</v>
      </c>
      <c r="JE19" s="663">
        <v>14</v>
      </c>
      <c r="JF19" s="660">
        <f t="shared" si="5"/>
        <v>10</v>
      </c>
      <c r="JG19" s="729">
        <f>JF19</f>
        <v>10</v>
      </c>
      <c r="JH19" s="905">
        <f t="shared" si="6"/>
        <v>135102781</v>
      </c>
      <c r="JI19" s="905">
        <f t="shared" si="83"/>
        <v>134552391.17751351</v>
      </c>
      <c r="JJ19" s="906">
        <f t="shared" si="33"/>
        <v>1</v>
      </c>
      <c r="JK19" s="906">
        <f t="shared" si="34"/>
        <v>0.99592613994758195</v>
      </c>
      <c r="JL19" s="906">
        <f t="shared" si="35"/>
        <v>1.0277057844754569</v>
      </c>
      <c r="JM19" s="663" t="s">
        <v>238</v>
      </c>
      <c r="JN19" s="209"/>
      <c r="JO19" s="210"/>
      <c r="JP19" s="209"/>
      <c r="JQ19" s="222">
        <v>14</v>
      </c>
      <c r="JR19" s="663">
        <v>14</v>
      </c>
      <c r="JS19" s="914" t="str">
        <f t="shared" si="7"/>
        <v>Q3</v>
      </c>
      <c r="JT19" s="913">
        <f t="shared" si="8"/>
        <v>1.0277057844754569</v>
      </c>
      <c r="JU19" s="671">
        <f t="shared" si="36"/>
        <v>1594.8705686575545</v>
      </c>
      <c r="JV19" s="671">
        <f t="shared" si="37"/>
        <v>1639.0577088990301</v>
      </c>
      <c r="JW19" s="671">
        <f t="shared" si="9"/>
        <v>14929180</v>
      </c>
      <c r="JX19" s="671">
        <f t="shared" si="38"/>
        <v>14845314.151226958</v>
      </c>
      <c r="JY19" s="671">
        <f t="shared" si="10"/>
        <v>7704857</v>
      </c>
      <c r="JZ19" s="671">
        <f t="shared" si="11"/>
        <v>6665810.098267708</v>
      </c>
      <c r="KA19" s="671">
        <f t="shared" si="39"/>
        <v>225000</v>
      </c>
      <c r="KB19" s="671">
        <f t="shared" si="40"/>
        <v>292462.70189691306</v>
      </c>
      <c r="KC19" s="671">
        <f t="shared" si="41"/>
        <v>7931451.8705686573</v>
      </c>
      <c r="KD19" s="671">
        <f t="shared" si="41"/>
        <v>6959911.8578735208</v>
      </c>
      <c r="KE19" s="211"/>
      <c r="KF19" s="210"/>
      <c r="KG19" s="209"/>
      <c r="KH19" s="245">
        <f t="shared" si="65"/>
        <v>14</v>
      </c>
      <c r="KI19" s="917">
        <v>13</v>
      </c>
      <c r="KJ19" s="918">
        <f t="shared" si="66"/>
        <v>1</v>
      </c>
      <c r="KK19" s="918">
        <f t="shared" si="66"/>
        <v>0.99592613994758195</v>
      </c>
      <c r="KL19" s="898">
        <v>1.6626666699999999</v>
      </c>
      <c r="KM19" s="801">
        <f t="shared" si="67"/>
        <v>2315045.6878441889</v>
      </c>
      <c r="KN19" s="898">
        <v>1.6626666699999999</v>
      </c>
      <c r="KO19" s="801">
        <f t="shared" si="42"/>
        <v>70912.269715879302</v>
      </c>
      <c r="KP19" s="898">
        <v>1.6626666699999999</v>
      </c>
      <c r="KQ19" s="801">
        <f t="shared" si="43"/>
        <v>1297260.6470498368</v>
      </c>
      <c r="KR19" s="898">
        <v>1.6626666699999999</v>
      </c>
      <c r="KS19" s="801">
        <f t="shared" si="68"/>
        <v>1310996.0822171902</v>
      </c>
      <c r="KT19" s="898">
        <v>1.6626666699999999</v>
      </c>
      <c r="KU19" s="801">
        <f t="shared" si="44"/>
        <v>145998.27312470804</v>
      </c>
      <c r="KV19" s="898">
        <v>1.6626666699999999</v>
      </c>
      <c r="KW19" s="801">
        <f t="shared" si="45"/>
        <v>72934.89682571539</v>
      </c>
      <c r="KX19" s="898">
        <v>1.6626666699999999</v>
      </c>
      <c r="KY19" s="801">
        <f t="shared" si="46"/>
        <v>193118.30584431317</v>
      </c>
      <c r="KZ19" s="898">
        <v>1.6626666699999999</v>
      </c>
      <c r="LA19" s="919">
        <f t="shared" si="47"/>
        <v>577216.63842585078</v>
      </c>
      <c r="LB19" s="646">
        <f t="shared" si="48"/>
        <v>5821296.5475905379</v>
      </c>
      <c r="LC19" s="646">
        <f t="shared" si="79"/>
        <v>5983482.8010476818</v>
      </c>
      <c r="LD19" s="16"/>
      <c r="LE19" s="220"/>
      <c r="LG19" s="222">
        <v>14</v>
      </c>
      <c r="LH19" s="922">
        <v>14</v>
      </c>
      <c r="LI19" s="650">
        <f t="shared" si="12"/>
        <v>7039974.3312999997</v>
      </c>
      <c r="LJ19" s="650">
        <f t="shared" si="12"/>
        <v>7931451.8705686573</v>
      </c>
      <c r="LK19" s="794">
        <f t="shared" si="13"/>
        <v>6959911.8578735208</v>
      </c>
      <c r="LL19" s="650">
        <f t="shared" si="14"/>
        <v>6789471.8094395082</v>
      </c>
      <c r="LM19" s="650">
        <f t="shared" si="14"/>
        <v>6882667.2988150679</v>
      </c>
      <c r="LN19" s="794">
        <f t="shared" si="49"/>
        <v>7073356.995612314</v>
      </c>
      <c r="LO19" s="650">
        <f t="shared" si="50"/>
        <v>250502.52186049148</v>
      </c>
      <c r="LP19" s="650">
        <f t="shared" si="50"/>
        <v>1048784.5717535894</v>
      </c>
      <c r="LQ19" s="650">
        <f t="shared" si="50"/>
        <v>-113445.13773879316</v>
      </c>
      <c r="MA19" s="192">
        <f t="shared" si="80"/>
        <v>13</v>
      </c>
      <c r="MB19" s="814" t="s">
        <v>50</v>
      </c>
      <c r="MC19" s="860">
        <f t="shared" si="102"/>
        <v>4015004.4093427504</v>
      </c>
      <c r="MD19" s="928">
        <f t="shared" si="103"/>
        <v>0.18374188525883151</v>
      </c>
      <c r="ME19" s="796"/>
      <c r="MF19" s="798">
        <f t="shared" si="104"/>
        <v>4015004.4093427504</v>
      </c>
      <c r="MG19" s="928">
        <f t="shared" si="105"/>
        <v>0.18374188525883151</v>
      </c>
      <c r="MK19" s="192">
        <f t="shared" si="81"/>
        <v>13</v>
      </c>
      <c r="ML19" s="253" t="str">
        <f t="shared" si="53"/>
        <v>Vehicle</v>
      </c>
      <c r="MM19" s="979">
        <v>3545647.9071340258</v>
      </c>
      <c r="MN19" s="860">
        <f t="shared" si="106"/>
        <v>4015004.4093427504</v>
      </c>
      <c r="MO19" s="860">
        <f t="shared" si="70"/>
        <v>469356.50220872462</v>
      </c>
      <c r="MP19" s="802">
        <f t="shared" si="71"/>
        <v>0.1323753837103665</v>
      </c>
    </row>
    <row r="20" spans="1:357" s="29" customFormat="1" ht="16.5" x14ac:dyDescent="0.3">
      <c r="B20" s="181">
        <f t="shared" si="72"/>
        <v>15</v>
      </c>
      <c r="C20" s="251"/>
      <c r="D20" s="804" t="s">
        <v>53</v>
      </c>
      <c r="E20" s="797"/>
      <c r="F20" s="798">
        <f>FP36</f>
        <v>12400752.312759999</v>
      </c>
      <c r="G20" s="799">
        <f t="shared" si="97"/>
        <v>0.59602549136926886</v>
      </c>
      <c r="H20" s="798">
        <f>FU36</f>
        <v>12035251.726130454</v>
      </c>
      <c r="I20" s="800">
        <f t="shared" si="98"/>
        <v>0.57542797450061911</v>
      </c>
      <c r="J20" s="801">
        <f t="shared" si="54"/>
        <v>-365500.58662954532</v>
      </c>
      <c r="K20" s="798">
        <f>IW26</f>
        <v>12737461.434445117</v>
      </c>
      <c r="L20" s="800">
        <f t="shared" si="99"/>
        <v>0.58054000857238874</v>
      </c>
      <c r="M20" s="801">
        <f t="shared" si="55"/>
        <v>702209.7083146628</v>
      </c>
      <c r="N20" s="798">
        <f>LA27</f>
        <v>13115670.151232321</v>
      </c>
      <c r="O20" s="800">
        <f t="shared" si="100"/>
        <v>0.60022299213736274</v>
      </c>
      <c r="P20" s="801">
        <f t="shared" si="56"/>
        <v>378208.71678720415</v>
      </c>
      <c r="Q20" s="798">
        <f t="shared" si="57"/>
        <v>714917.83847232163</v>
      </c>
      <c r="R20" s="802">
        <f t="shared" si="58"/>
        <v>7.0424853112420749E-3</v>
      </c>
      <c r="S20" s="12"/>
      <c r="T20" s="13"/>
      <c r="U20" s="12"/>
      <c r="V20" s="165">
        <f t="shared" si="59"/>
        <v>11</v>
      </c>
      <c r="W20" s="808" t="s">
        <v>132</v>
      </c>
      <c r="X20" s="650">
        <f>X18-X14</f>
        <v>-3852155.0384290707</v>
      </c>
      <c r="Y20" s="650">
        <f t="shared" ref="Y20:AA20" si="110">Y18-Y14</f>
        <v>-5358015.5361312041</v>
      </c>
      <c r="Z20" s="650">
        <f t="shared" si="110"/>
        <v>-9649686.7827785797</v>
      </c>
      <c r="AA20" s="650">
        <f t="shared" si="110"/>
        <v>-18859857.357338853</v>
      </c>
      <c r="AB20" s="230"/>
      <c r="AC20" s="234"/>
      <c r="AD20" s="13"/>
      <c r="AE20" s="12"/>
      <c r="AF20" s="252">
        <f t="shared" si="73"/>
        <v>14</v>
      </c>
      <c r="AG20" s="814" t="s">
        <v>180</v>
      </c>
      <c r="AH20" s="815">
        <f>AH19*3600/$N$24</f>
        <v>3.0451184708403782</v>
      </c>
      <c r="AI20" s="815">
        <f>AI19*3600/$N$24</f>
        <v>0.15128923398834065</v>
      </c>
      <c r="AJ20" s="815">
        <f>AJ19*3600/$N$24</f>
        <v>0.96396925741380024</v>
      </c>
      <c r="AK20" s="12"/>
      <c r="AL20" s="299"/>
      <c r="AM20" s="12"/>
      <c r="AN20" s="192">
        <f t="shared" si="108"/>
        <v>15</v>
      </c>
      <c r="AO20" s="193"/>
      <c r="AP20" s="191" t="s">
        <v>220</v>
      </c>
      <c r="AQ20" s="7"/>
      <c r="AR20" s="195"/>
      <c r="AS20" s="255">
        <v>8347158.8556000106</v>
      </c>
      <c r="AT20" s="256">
        <v>0.81397546749984451</v>
      </c>
      <c r="AU20" s="257"/>
      <c r="AV20" s="255">
        <v>7285795.8646500036</v>
      </c>
      <c r="AW20" s="256">
        <v>0.67512429859622292</v>
      </c>
      <c r="AX20" s="250">
        <f t="shared" si="87"/>
        <v>-0.17058397267193814</v>
      </c>
      <c r="AY20" s="257"/>
      <c r="AZ20" s="255">
        <v>9252422.5520105362</v>
      </c>
      <c r="BA20" s="256">
        <v>0.71716600089519644</v>
      </c>
      <c r="BB20" s="250">
        <f t="shared" si="88"/>
        <v>6.2272536163178183E-2</v>
      </c>
      <c r="BC20" s="257"/>
      <c r="BD20" s="255">
        <v>10915527.954034619</v>
      </c>
      <c r="BE20" s="256">
        <v>0.74224448966694945</v>
      </c>
      <c r="BF20" s="250">
        <f t="shared" si="89"/>
        <v>3.4968875742086292E-2</v>
      </c>
      <c r="BG20" s="257"/>
      <c r="BH20" s="255">
        <v>3838414.9907733351</v>
      </c>
      <c r="BI20" s="256">
        <v>0.25258689065096962</v>
      </c>
      <c r="BJ20" s="250">
        <f t="shared" si="90"/>
        <v>-0.65969853038005422</v>
      </c>
      <c r="BK20" s="257"/>
      <c r="BL20" s="255">
        <v>5658223.4029922634</v>
      </c>
      <c r="BM20" s="256">
        <v>0.33637236438364621</v>
      </c>
      <c r="BN20" s="250">
        <f t="shared" si="91"/>
        <v>0.33170951000958038</v>
      </c>
      <c r="BO20" s="257"/>
      <c r="BP20" s="255">
        <v>8558427.9676000625</v>
      </c>
      <c r="BQ20" s="256">
        <v>0.46142281150297859</v>
      </c>
      <c r="BR20" s="250">
        <f t="shared" si="92"/>
        <v>0.37176195300249848</v>
      </c>
      <c r="BS20" s="257"/>
      <c r="BT20" s="29">
        <v>12790093</v>
      </c>
      <c r="BU20" s="29">
        <v>0.65</v>
      </c>
      <c r="BV20" s="29">
        <f t="shared" si="93"/>
        <v>0.40868631501501773</v>
      </c>
      <c r="BW20" s="258">
        <v>16992816.141500026</v>
      </c>
      <c r="BX20" s="259">
        <v>0.87785804171546822</v>
      </c>
      <c r="BY20" s="260">
        <f t="shared" si="60"/>
        <v>0.35055083340841264</v>
      </c>
      <c r="BZ20" s="260">
        <v>13569776.854138836</v>
      </c>
      <c r="CA20" s="260">
        <v>0.66521868747413349</v>
      </c>
      <c r="CB20" s="260">
        <f t="shared" si="61"/>
        <v>-0.24222521653478857</v>
      </c>
      <c r="CC20" s="956">
        <v>5345041.1556581259</v>
      </c>
      <c r="CD20" s="956">
        <v>0.25717234263122563</v>
      </c>
      <c r="CE20" s="802">
        <f t="shared" si="101"/>
        <v>-0.61340180684381995</v>
      </c>
      <c r="CF20" s="798">
        <f t="shared" si="109"/>
        <v>7158976.8429704905</v>
      </c>
      <c r="CG20" s="831">
        <f t="shared" si="109"/>
        <v>0.3440865991769031</v>
      </c>
      <c r="CH20" s="802">
        <f t="shared" si="95"/>
        <v>0.33796113398674787</v>
      </c>
      <c r="CI20" s="832">
        <f>CF20/AS20-1</f>
        <v>-0.14234568110949308</v>
      </c>
      <c r="CJ20" s="802">
        <f t="shared" si="96"/>
        <v>-8.4945023382365648E-3</v>
      </c>
      <c r="CK20" s="12"/>
      <c r="CL20" s="13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3"/>
      <c r="CZ20" s="12"/>
      <c r="DA20" s="12"/>
      <c r="DB20" s="12"/>
      <c r="DC20" s="12"/>
      <c r="DD20" s="12"/>
      <c r="DE20" s="12"/>
      <c r="DF20" s="12"/>
      <c r="DG20" s="12"/>
      <c r="DH20" s="12"/>
      <c r="DI20" s="13"/>
      <c r="DJ20" s="12"/>
      <c r="DK20" s="12"/>
      <c r="DL20" s="12"/>
      <c r="DM20" s="12"/>
      <c r="DN20" s="12"/>
      <c r="DO20" s="12"/>
      <c r="DP20" s="12"/>
      <c r="DQ20" s="12"/>
      <c r="DR20" s="1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3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266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66"/>
      <c r="FI20" s="12"/>
      <c r="FJ20" s="312">
        <f t="shared" si="78"/>
        <v>15</v>
      </c>
      <c r="FK20" s="318"/>
      <c r="FL20" s="319" t="s">
        <v>221</v>
      </c>
      <c r="FM20" s="320">
        <f>SUM(FM7:FM19)</f>
        <v>1384457.0804999999</v>
      </c>
      <c r="FN20" s="320">
        <f>SUM(FN7:FN19)</f>
        <v>2365134.79</v>
      </c>
      <c r="FO20" s="320">
        <f>SUM(FO7:FO19)</f>
        <v>3499048.7027100003</v>
      </c>
      <c r="FP20" s="321">
        <f t="shared" si="21"/>
        <v>7248640.5732100001</v>
      </c>
      <c r="FQ20" s="320">
        <v>1361253.4714090908</v>
      </c>
      <c r="FR20" s="320">
        <v>2221615.8199999998</v>
      </c>
      <c r="FS20" s="320">
        <v>3507529.9327099998</v>
      </c>
      <c r="FT20" s="320">
        <v>7090399.2241190914</v>
      </c>
      <c r="FU20" s="971">
        <v>7090399.2241190914</v>
      </c>
      <c r="FV20" s="16"/>
      <c r="FW20" s="266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3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3"/>
      <c r="GX20" s="12"/>
      <c r="GY20" s="12"/>
      <c r="GZ20" s="192">
        <v>15</v>
      </c>
      <c r="HA20" s="886">
        <v>15</v>
      </c>
      <c r="HB20" s="886">
        <v>10</v>
      </c>
      <c r="HC20" s="886">
        <v>10</v>
      </c>
      <c r="HD20" s="887">
        <v>151054973</v>
      </c>
      <c r="HE20" s="887">
        <v>153653848</v>
      </c>
      <c r="HF20" s="800">
        <f t="shared" si="22"/>
        <v>1</v>
      </c>
      <c r="HG20" s="800">
        <f t="shared" si="23"/>
        <v>1.0172048291319744</v>
      </c>
      <c r="HH20" s="802">
        <v>0</v>
      </c>
      <c r="HI20" s="802">
        <v>0.6</v>
      </c>
      <c r="HJ20" s="802">
        <v>0.4</v>
      </c>
      <c r="HK20" s="12"/>
      <c r="HL20" s="13"/>
      <c r="HM20" s="12"/>
      <c r="HN20" s="267">
        <v>15</v>
      </c>
      <c r="HO20" s="892">
        <v>15</v>
      </c>
      <c r="HP20" s="799">
        <f t="shared" si="2"/>
        <v>1.0172048291319744</v>
      </c>
      <c r="HQ20" s="860">
        <v>107001.53</v>
      </c>
      <c r="HR20" s="801">
        <f>HP20*HQ20</f>
        <v>108842.47304050984</v>
      </c>
      <c r="HS20" s="860">
        <v>16599582</v>
      </c>
      <c r="HT20" s="975">
        <v>16910947</v>
      </c>
      <c r="HU20" s="860">
        <v>7195326.9701999994</v>
      </c>
      <c r="HV20" s="975">
        <v>8565286</v>
      </c>
      <c r="HW20" s="860">
        <v>225000</v>
      </c>
      <c r="HX20" s="955">
        <v>225000</v>
      </c>
      <c r="HY20" s="860">
        <f t="shared" si="25"/>
        <v>7527328.5001999997</v>
      </c>
      <c r="HZ20" s="860">
        <f t="shared" si="25"/>
        <v>8899128.47304051</v>
      </c>
      <c r="IA20" s="206"/>
      <c r="IB20" s="207"/>
      <c r="IC20" s="206"/>
      <c r="ID20" s="208">
        <v>15</v>
      </c>
      <c r="IE20" s="892">
        <v>15</v>
      </c>
      <c r="IF20" s="896">
        <f t="shared" si="3"/>
        <v>1</v>
      </c>
      <c r="IG20" s="897">
        <f t="shared" si="3"/>
        <v>1.0172048291319744</v>
      </c>
      <c r="IH20" s="955">
        <v>2939270.0717588281</v>
      </c>
      <c r="II20" s="801">
        <f t="shared" si="64"/>
        <v>2989839.7111161649</v>
      </c>
      <c r="IJ20" s="955">
        <v>164458.5644</v>
      </c>
      <c r="IK20" s="801">
        <f t="shared" si="26"/>
        <v>167288.04589979182</v>
      </c>
      <c r="IL20" s="955">
        <v>1239730.2338411715</v>
      </c>
      <c r="IM20" s="801">
        <f t="shared" si="82"/>
        <v>1239730.2338411715</v>
      </c>
      <c r="IN20" s="955">
        <v>1823650.9582650054</v>
      </c>
      <c r="IO20" s="995">
        <v>1823650.9582650054</v>
      </c>
      <c r="IP20" s="955">
        <v>148263.52149999997</v>
      </c>
      <c r="IQ20" s="801">
        <f t="shared" si="27"/>
        <v>150814.37005391228</v>
      </c>
      <c r="IR20" s="955">
        <v>61819.527166666667</v>
      </c>
      <c r="IS20" s="801">
        <f t="shared" si="28"/>
        <v>62883.12156858862</v>
      </c>
      <c r="IT20" s="955">
        <v>308605.27999999997</v>
      </c>
      <c r="IU20" s="801">
        <f t="shared" si="29"/>
        <v>313914.78111162508</v>
      </c>
      <c r="IV20" s="955">
        <v>575127.48739999998</v>
      </c>
      <c r="IW20" s="801">
        <f t="shared" si="30"/>
        <v>585022.45754981879</v>
      </c>
      <c r="IX20" s="860">
        <f t="shared" si="31"/>
        <v>7260925.6443316713</v>
      </c>
      <c r="IY20" s="860">
        <f t="shared" si="31"/>
        <v>7333143.6794060785</v>
      </c>
      <c r="IZ20" s="898">
        <f t="shared" si="4"/>
        <v>4.7725089705570403</v>
      </c>
      <c r="JA20" s="12"/>
      <c r="JB20" s="13"/>
      <c r="JC20" s="12"/>
      <c r="JD20" s="192">
        <v>15</v>
      </c>
      <c r="JE20" s="886">
        <v>15</v>
      </c>
      <c r="JF20" s="796">
        <f t="shared" si="5"/>
        <v>10</v>
      </c>
      <c r="JG20" s="804">
        <f>JF20</f>
        <v>10</v>
      </c>
      <c r="JH20" s="859">
        <f t="shared" si="6"/>
        <v>153653848</v>
      </c>
      <c r="JI20" s="859">
        <f t="shared" si="83"/>
        <v>153027883.72673249</v>
      </c>
      <c r="JJ20" s="904">
        <f t="shared" si="33"/>
        <v>1</v>
      </c>
      <c r="JK20" s="904">
        <f t="shared" si="34"/>
        <v>0.99592613994758195</v>
      </c>
      <c r="JL20" s="904">
        <f t="shared" si="35"/>
        <v>1.0415706292502449</v>
      </c>
      <c r="JM20" s="886" t="s">
        <v>425</v>
      </c>
      <c r="JN20" s="209"/>
      <c r="JO20" s="210"/>
      <c r="JP20" s="209"/>
      <c r="JQ20" s="192">
        <v>15</v>
      </c>
      <c r="JR20" s="886">
        <v>15</v>
      </c>
      <c r="JS20" s="910" t="str">
        <f t="shared" si="7"/>
        <v>Q2</v>
      </c>
      <c r="JT20" s="911">
        <f t="shared" si="8"/>
        <v>1.0415706292502449</v>
      </c>
      <c r="JU20" s="860">
        <f t="shared" si="36"/>
        <v>108842.47304050984</v>
      </c>
      <c r="JV20" s="860">
        <f t="shared" si="37"/>
        <v>113367.12313395664</v>
      </c>
      <c r="JW20" s="860">
        <f t="shared" si="9"/>
        <v>16910947</v>
      </c>
      <c r="JX20" s="860">
        <f t="shared" si="38"/>
        <v>16883735.680502951</v>
      </c>
      <c r="JY20" s="860">
        <f t="shared" si="10"/>
        <v>8565286</v>
      </c>
      <c r="JZ20" s="860">
        <f t="shared" si="11"/>
        <v>7581097.6210481673</v>
      </c>
      <c r="KA20" s="860">
        <f t="shared" si="39"/>
        <v>225000</v>
      </c>
      <c r="KB20" s="860">
        <f t="shared" si="40"/>
        <v>332620.98093256564</v>
      </c>
      <c r="KC20" s="860">
        <f t="shared" si="41"/>
        <v>8899128.47304051</v>
      </c>
      <c r="KD20" s="860">
        <f t="shared" si="41"/>
        <v>8027085.7251146892</v>
      </c>
      <c r="KE20" s="211"/>
      <c r="KF20" s="210"/>
      <c r="KG20" s="209"/>
      <c r="KH20" s="243">
        <f t="shared" si="65"/>
        <v>15</v>
      </c>
      <c r="KI20" s="891">
        <v>14</v>
      </c>
      <c r="KJ20" s="920">
        <f t="shared" si="66"/>
        <v>1</v>
      </c>
      <c r="KK20" s="920">
        <f t="shared" si="66"/>
        <v>0.99592613994758195</v>
      </c>
      <c r="KL20" s="683">
        <v>1.6626666699999999</v>
      </c>
      <c r="KM20" s="794">
        <f t="shared" si="67"/>
        <v>2954542.043609838</v>
      </c>
      <c r="KN20" s="683">
        <v>1.6626666699999999</v>
      </c>
      <c r="KO20" s="794">
        <f t="shared" si="42"/>
        <v>67275.899635751193</v>
      </c>
      <c r="KP20" s="683">
        <v>1.6626666699999999</v>
      </c>
      <c r="KQ20" s="794">
        <f t="shared" si="43"/>
        <v>1272922.7057777585</v>
      </c>
      <c r="KR20" s="683">
        <v>1.6626666699999999</v>
      </c>
      <c r="KS20" s="794">
        <f t="shared" si="68"/>
        <v>1548911.8252986118</v>
      </c>
      <c r="KT20" s="683">
        <v>1.6626666699999999</v>
      </c>
      <c r="KU20" s="794">
        <f t="shared" si="44"/>
        <v>76997.071196205376</v>
      </c>
      <c r="KV20" s="683">
        <v>1.6626666699999999</v>
      </c>
      <c r="KW20" s="794">
        <f t="shared" si="45"/>
        <v>68318.106197277055</v>
      </c>
      <c r="KX20" s="683">
        <v>1.6626666699999999</v>
      </c>
      <c r="KY20" s="794">
        <f t="shared" si="46"/>
        <v>278446.25299052923</v>
      </c>
      <c r="KZ20" s="683">
        <v>1.6626666699999999</v>
      </c>
      <c r="LA20" s="794">
        <f t="shared" si="47"/>
        <v>805943.09090634389</v>
      </c>
      <c r="LB20" s="650">
        <f t="shared" si="48"/>
        <v>6882667.2988150679</v>
      </c>
      <c r="LC20" s="650">
        <f t="shared" si="79"/>
        <v>7073356.995612314</v>
      </c>
      <c r="LD20" s="16"/>
      <c r="LE20" s="220"/>
      <c r="LF20" s="12"/>
      <c r="LG20" s="192">
        <v>15</v>
      </c>
      <c r="LH20" s="921">
        <v>15</v>
      </c>
      <c r="LI20" s="860">
        <f t="shared" si="12"/>
        <v>7527328.5001999997</v>
      </c>
      <c r="LJ20" s="860">
        <f t="shared" si="12"/>
        <v>8899128.47304051</v>
      </c>
      <c r="LK20" s="801">
        <f t="shared" si="13"/>
        <v>8027085.7251146892</v>
      </c>
      <c r="LL20" s="860">
        <f t="shared" si="14"/>
        <v>7260925.6443316713</v>
      </c>
      <c r="LM20" s="860">
        <f t="shared" si="14"/>
        <v>7333143.6794060785</v>
      </c>
      <c r="LN20" s="801">
        <f t="shared" si="49"/>
        <v>7637987.0765414452</v>
      </c>
      <c r="LO20" s="860">
        <f t="shared" si="50"/>
        <v>266402.85586832836</v>
      </c>
      <c r="LP20" s="860">
        <f t="shared" si="50"/>
        <v>1565984.7936344314</v>
      </c>
      <c r="LQ20" s="860">
        <f t="shared" si="50"/>
        <v>389098.64857324399</v>
      </c>
      <c r="LR20" s="12"/>
      <c r="LS20" s="13"/>
      <c r="LT20" s="12"/>
      <c r="LU20" s="12"/>
      <c r="LV20" s="12"/>
      <c r="LW20" s="12"/>
      <c r="LX20" s="12"/>
      <c r="LY20" s="13"/>
      <c r="LZ20" s="12"/>
      <c r="MA20" s="293">
        <f t="shared" si="80"/>
        <v>14</v>
      </c>
      <c r="MB20" s="816" t="s">
        <v>53</v>
      </c>
      <c r="MC20" s="929">
        <f t="shared" si="102"/>
        <v>13115670.151232321</v>
      </c>
      <c r="MD20" s="930">
        <f t="shared" si="103"/>
        <v>0.60022299213736274</v>
      </c>
      <c r="ME20" s="839"/>
      <c r="MF20" s="931">
        <f t="shared" si="104"/>
        <v>13115670.151232321</v>
      </c>
      <c r="MG20" s="930">
        <f t="shared" si="105"/>
        <v>0.60022299213736274</v>
      </c>
      <c r="MH20" s="12"/>
      <c r="MI20" s="13"/>
      <c r="MJ20" s="12"/>
      <c r="MK20" s="293">
        <f t="shared" si="81"/>
        <v>14</v>
      </c>
      <c r="ML20" s="272" t="str">
        <f t="shared" si="53"/>
        <v>Overhead</v>
      </c>
      <c r="MM20" s="980">
        <v>10556442.680443538</v>
      </c>
      <c r="MN20" s="929">
        <f t="shared" si="106"/>
        <v>13115670.151232321</v>
      </c>
      <c r="MO20" s="929">
        <f t="shared" si="70"/>
        <v>2559227.4707887825</v>
      </c>
      <c r="MP20" s="940">
        <f t="shared" si="71"/>
        <v>0.24243275393612559</v>
      </c>
      <c r="MQ20" s="12"/>
      <c r="MR20" s="13"/>
      <c r="MS20" s="12"/>
    </row>
    <row r="21" spans="1:357" ht="17.25" thickBot="1" x14ac:dyDescent="0.35">
      <c r="A21" s="5"/>
      <c r="B21" s="143">
        <f t="shared" si="72"/>
        <v>16</v>
      </c>
      <c r="C21" s="307" t="s">
        <v>222</v>
      </c>
      <c r="D21" s="307"/>
      <c r="E21" s="308"/>
      <c r="F21" s="322">
        <f>SUM(F14:F20)</f>
        <v>104216563.686424</v>
      </c>
      <c r="G21" s="323">
        <f t="shared" si="97"/>
        <v>5.0090290502861157</v>
      </c>
      <c r="H21" s="322">
        <f>SUM(H14:H20)</f>
        <v>101285634.88093203</v>
      </c>
      <c r="I21" s="324">
        <f t="shared" si="98"/>
        <v>4.842656310960507</v>
      </c>
      <c r="J21" s="325">
        <f t="shared" si="54"/>
        <v>-2930928.805491969</v>
      </c>
      <c r="K21" s="322">
        <f>SUM(K14:K20)</f>
        <v>106424488.89034145</v>
      </c>
      <c r="L21" s="324">
        <f t="shared" si="99"/>
        <v>4.8505484401808046</v>
      </c>
      <c r="M21" s="325">
        <f t="shared" si="55"/>
        <v>5138854.0094094127</v>
      </c>
      <c r="N21" s="322">
        <f>SUM(N14:N20)</f>
        <v>109615433.06907611</v>
      </c>
      <c r="O21" s="324">
        <f t="shared" si="100"/>
        <v>5.0164194785709704</v>
      </c>
      <c r="P21" s="325">
        <f t="shared" si="56"/>
        <v>3190944.1787346601</v>
      </c>
      <c r="Q21" s="322">
        <f t="shared" si="57"/>
        <v>5398869.3826521039</v>
      </c>
      <c r="R21" s="326">
        <f t="shared" si="58"/>
        <v>1.4754213263012961E-3</v>
      </c>
      <c r="V21" s="185"/>
      <c r="W21" s="186" t="s">
        <v>27</v>
      </c>
      <c r="X21" s="269"/>
      <c r="Y21" s="270"/>
      <c r="Z21" s="270"/>
      <c r="AA21" s="270"/>
      <c r="AB21" s="189"/>
      <c r="AC21" s="236"/>
      <c r="AF21" s="327">
        <f t="shared" si="73"/>
        <v>15</v>
      </c>
      <c r="AG21" s="819" t="s">
        <v>187</v>
      </c>
      <c r="AH21" s="820">
        <f>KM27/AH19</f>
        <v>21.5909155817974</v>
      </c>
      <c r="AI21" s="820">
        <f>KO27/AI19</f>
        <v>21.624578811329847</v>
      </c>
      <c r="AJ21" s="820">
        <f>KQ27/AJ19</f>
        <v>32.768848092605424</v>
      </c>
      <c r="AL21" s="299"/>
      <c r="AN21" s="1055" t="s">
        <v>223</v>
      </c>
      <c r="AO21" s="1055"/>
      <c r="AP21" s="1055"/>
      <c r="AQ21" s="1055"/>
      <c r="AR21" s="1055"/>
      <c r="AS21" s="1055"/>
      <c r="AT21" s="1055"/>
      <c r="AU21" s="1055"/>
      <c r="AV21" s="1055"/>
      <c r="AW21" s="1055"/>
      <c r="AX21" s="1055"/>
      <c r="AY21" s="1055"/>
      <c r="AZ21" s="1055"/>
      <c r="BA21" s="1055"/>
      <c r="BB21" s="1055"/>
      <c r="BC21" s="1055"/>
      <c r="BD21" s="1055"/>
      <c r="BE21" s="1055"/>
      <c r="BF21" s="1055"/>
      <c r="BG21" s="1055"/>
      <c r="BH21" s="1055"/>
      <c r="BI21" s="1055"/>
      <c r="BJ21" s="1055"/>
      <c r="BK21" s="1055"/>
      <c r="BL21" s="1055"/>
      <c r="BM21" s="1055"/>
      <c r="BN21" s="1055"/>
      <c r="BO21" s="1055"/>
      <c r="BP21" s="1055"/>
      <c r="BQ21" s="1055"/>
      <c r="BR21" s="1055"/>
      <c r="BS21" s="1055"/>
      <c r="BT21" s="1056"/>
      <c r="BU21" s="1056"/>
      <c r="BV21" s="1056"/>
      <c r="BW21" s="1056"/>
      <c r="BX21" s="1056"/>
      <c r="BY21" s="1056"/>
      <c r="BZ21" s="1056"/>
      <c r="CA21" s="1056"/>
      <c r="CB21" s="1056"/>
      <c r="CC21" s="1056"/>
      <c r="CD21" s="1056"/>
      <c r="CE21" s="1056"/>
      <c r="CF21" s="1056"/>
      <c r="CG21" s="1056"/>
      <c r="CH21" s="1056"/>
      <c r="CI21" s="1055"/>
      <c r="CJ21" s="1055"/>
      <c r="DD21" s="12"/>
      <c r="DU21" s="12"/>
      <c r="DV21" s="12"/>
      <c r="DW21" s="12"/>
      <c r="DX21" s="12"/>
      <c r="DY21" s="12"/>
      <c r="ER21" s="266"/>
      <c r="FH21" s="266"/>
      <c r="FJ21" s="222">
        <f t="shared" si="78"/>
        <v>16</v>
      </c>
      <c r="FK21" s="15" t="s">
        <v>224</v>
      </c>
      <c r="FL21" s="308"/>
      <c r="FM21" s="329"/>
      <c r="FN21" s="329"/>
      <c r="FO21" s="329"/>
      <c r="FP21" s="330"/>
      <c r="FQ21" s="329"/>
      <c r="FR21" s="329"/>
      <c r="FS21" s="329"/>
      <c r="FT21" s="329"/>
      <c r="FU21" s="329"/>
      <c r="FV21" s="16"/>
      <c r="FW21" s="266"/>
      <c r="GZ21" s="222">
        <v>16</v>
      </c>
      <c r="HA21" s="663">
        <v>16</v>
      </c>
      <c r="HB21" s="663">
        <v>10</v>
      </c>
      <c r="HC21" s="663">
        <v>10</v>
      </c>
      <c r="HD21" s="682">
        <v>161434968</v>
      </c>
      <c r="HE21" s="682">
        <v>163801024</v>
      </c>
      <c r="HF21" s="724">
        <f t="shared" si="22"/>
        <v>1</v>
      </c>
      <c r="HG21" s="724">
        <f t="shared" si="23"/>
        <v>1.0146564033140577</v>
      </c>
      <c r="HH21" s="723">
        <v>0</v>
      </c>
      <c r="HI21" s="723">
        <v>0.5</v>
      </c>
      <c r="HJ21" s="723">
        <v>0.5</v>
      </c>
      <c r="HN21" s="243">
        <v>16</v>
      </c>
      <c r="HO21" s="891">
        <v>16</v>
      </c>
      <c r="HP21" s="793">
        <f t="shared" si="2"/>
        <v>1.0146564033140577</v>
      </c>
      <c r="HQ21" s="650">
        <v>39583.630000000005</v>
      </c>
      <c r="HR21" s="794">
        <f t="shared" si="24"/>
        <v>40163.783645914438</v>
      </c>
      <c r="HS21" s="650">
        <v>17950787</v>
      </c>
      <c r="HT21" s="975">
        <v>18206967</v>
      </c>
      <c r="HU21" s="650">
        <v>8597440.1903000008</v>
      </c>
      <c r="HV21" s="975">
        <v>9402320</v>
      </c>
      <c r="HW21" s="650">
        <v>225000</v>
      </c>
      <c r="HX21" s="955">
        <v>225000</v>
      </c>
      <c r="HY21" s="650">
        <f t="shared" si="25"/>
        <v>8862023.8203000017</v>
      </c>
      <c r="HZ21" s="650">
        <f t="shared" si="25"/>
        <v>9667483.7836459149</v>
      </c>
      <c r="IA21" s="206"/>
      <c r="IB21" s="207"/>
      <c r="IC21" s="206"/>
      <c r="ID21" s="244">
        <v>16</v>
      </c>
      <c r="IE21" s="891">
        <v>16</v>
      </c>
      <c r="IF21" s="899">
        <f t="shared" si="3"/>
        <v>1</v>
      </c>
      <c r="IG21" s="900">
        <f t="shared" si="3"/>
        <v>1.0146564033140577</v>
      </c>
      <c r="IH21" s="955">
        <v>2733563.4377292385</v>
      </c>
      <c r="II21" s="794">
        <f t="shared" si="64"/>
        <v>2773627.6459571603</v>
      </c>
      <c r="IJ21" s="955">
        <v>60011.618999999992</v>
      </c>
      <c r="IK21" s="794">
        <f t="shared" si="26"/>
        <v>60891.173491593559</v>
      </c>
      <c r="IL21" s="955">
        <v>1492298.6492707615</v>
      </c>
      <c r="IM21" s="794">
        <f t="shared" si="82"/>
        <v>1492298.6492707615</v>
      </c>
      <c r="IN21" s="955">
        <v>1885780.2045426611</v>
      </c>
      <c r="IO21" s="995">
        <v>1885780.2045426611</v>
      </c>
      <c r="IP21" s="955">
        <v>135685.57333333336</v>
      </c>
      <c r="IQ21" s="794">
        <f t="shared" si="27"/>
        <v>137674.23582000585</v>
      </c>
      <c r="IR21" s="955">
        <v>52965.553333333351</v>
      </c>
      <c r="IS21" s="794">
        <f t="shared" si="28"/>
        <v>53741.837844738919</v>
      </c>
      <c r="IT21" s="955">
        <v>1053043.42</v>
      </c>
      <c r="IU21" s="794">
        <f t="shared" si="29"/>
        <v>1068477.2490707345</v>
      </c>
      <c r="IV21" s="955">
        <v>917174.10305000003</v>
      </c>
      <c r="IW21" s="794">
        <f t="shared" si="30"/>
        <v>930616.57661350991</v>
      </c>
      <c r="IX21" s="650">
        <f t="shared" si="31"/>
        <v>8330522.5602593282</v>
      </c>
      <c r="IY21" s="650">
        <f t="shared" si="31"/>
        <v>8403107.5726111662</v>
      </c>
      <c r="IZ21" s="683">
        <f t="shared" si="4"/>
        <v>5.1300702324126899</v>
      </c>
      <c r="JD21" s="222">
        <v>16</v>
      </c>
      <c r="JE21" s="663">
        <v>16</v>
      </c>
      <c r="JF21" s="660">
        <f t="shared" si="5"/>
        <v>10</v>
      </c>
      <c r="JG21" s="729">
        <f>JF21</f>
        <v>10</v>
      </c>
      <c r="JH21" s="905">
        <f t="shared" si="6"/>
        <v>163801024</v>
      </c>
      <c r="JI21" s="905">
        <f t="shared" si="83"/>
        <v>163133721.55178124</v>
      </c>
      <c r="JJ21" s="906">
        <f t="shared" si="33"/>
        <v>1</v>
      </c>
      <c r="JK21" s="906">
        <f t="shared" si="34"/>
        <v>0.99592613994758195</v>
      </c>
      <c r="JL21" s="906">
        <f t="shared" si="35"/>
        <v>1.027722754956391</v>
      </c>
      <c r="JM21" s="663" t="s">
        <v>238</v>
      </c>
      <c r="JN21" s="209"/>
      <c r="JO21" s="210"/>
      <c r="JP21" s="209"/>
      <c r="JQ21" s="222">
        <v>16</v>
      </c>
      <c r="JR21" s="663">
        <v>16</v>
      </c>
      <c r="JS21" s="914" t="str">
        <f t="shared" si="7"/>
        <v>Q3</v>
      </c>
      <c r="JT21" s="913">
        <f t="shared" si="8"/>
        <v>1.027722754956391</v>
      </c>
      <c r="JU21" s="671">
        <f t="shared" si="36"/>
        <v>40163.783645914438</v>
      </c>
      <c r="JV21" s="671">
        <f t="shared" si="37"/>
        <v>41277.234378051631</v>
      </c>
      <c r="JW21" s="671">
        <f t="shared" si="9"/>
        <v>18206967</v>
      </c>
      <c r="JX21" s="671">
        <f t="shared" si="38"/>
        <v>17998723.946124148</v>
      </c>
      <c r="JY21" s="671">
        <f t="shared" si="10"/>
        <v>9402320</v>
      </c>
      <c r="JZ21" s="671">
        <f t="shared" si="11"/>
        <v>8081747.1839146763</v>
      </c>
      <c r="KA21" s="671">
        <f t="shared" si="39"/>
        <v>225000</v>
      </c>
      <c r="KB21" s="671">
        <f t="shared" si="40"/>
        <v>354587.00182138442</v>
      </c>
      <c r="KC21" s="671">
        <f t="shared" si="41"/>
        <v>9667483.7836459149</v>
      </c>
      <c r="KD21" s="671">
        <f t="shared" si="41"/>
        <v>8477611.420114113</v>
      </c>
      <c r="KE21" s="211"/>
      <c r="KF21" s="210"/>
      <c r="KG21" s="209"/>
      <c r="KH21" s="245">
        <f t="shared" si="65"/>
        <v>16</v>
      </c>
      <c r="KI21" s="917">
        <v>15</v>
      </c>
      <c r="KJ21" s="918">
        <f t="shared" si="66"/>
        <v>1</v>
      </c>
      <c r="KK21" s="918">
        <f t="shared" si="66"/>
        <v>0.99592613994758195</v>
      </c>
      <c r="KL21" s="898">
        <v>1.6406666700000001</v>
      </c>
      <c r="KM21" s="801">
        <f t="shared" si="67"/>
        <v>3108816.9002367086</v>
      </c>
      <c r="KN21" s="898">
        <v>1.6406666700000001</v>
      </c>
      <c r="KO21" s="801">
        <f t="shared" si="42"/>
        <v>173945.07885063035</v>
      </c>
      <c r="KP21" s="898">
        <v>1.6406666700000001</v>
      </c>
      <c r="KQ21" s="801">
        <f t="shared" si="43"/>
        <v>1294336.8016079334</v>
      </c>
      <c r="KR21" s="898">
        <v>1.6406666700000001</v>
      </c>
      <c r="KS21" s="801">
        <f t="shared" si="68"/>
        <v>1903977.5623253663</v>
      </c>
      <c r="KT21" s="898">
        <v>1.6406666700000001</v>
      </c>
      <c r="KU21" s="801">
        <f t="shared" si="44"/>
        <v>156815.85226089702</v>
      </c>
      <c r="KV21" s="898">
        <v>1.6406666700000001</v>
      </c>
      <c r="KW21" s="801">
        <f t="shared" si="45"/>
        <v>65385.482153184334</v>
      </c>
      <c r="KX21" s="898">
        <v>1.6406666700000001</v>
      </c>
      <c r="KY21" s="801">
        <f t="shared" si="46"/>
        <v>326406.65421812993</v>
      </c>
      <c r="KZ21" s="898">
        <v>1.6406666700000001</v>
      </c>
      <c r="LA21" s="919">
        <f t="shared" si="47"/>
        <v>608302.74488859565</v>
      </c>
      <c r="LB21" s="646">
        <f t="shared" si="48"/>
        <v>7333143.6794060785</v>
      </c>
      <c r="LC21" s="646">
        <f t="shared" si="79"/>
        <v>7637987.0765414452</v>
      </c>
      <c r="LD21" s="16"/>
      <c r="LE21" s="220"/>
      <c r="LG21" s="222">
        <v>16</v>
      </c>
      <c r="LH21" s="922">
        <v>16</v>
      </c>
      <c r="LI21" s="650">
        <f t="shared" si="12"/>
        <v>8862023.8203000017</v>
      </c>
      <c r="LJ21" s="650">
        <f t="shared" si="12"/>
        <v>9667483.7836459149</v>
      </c>
      <c r="LK21" s="794">
        <f t="shared" si="13"/>
        <v>8477611.420114113</v>
      </c>
      <c r="LL21" s="650">
        <f t="shared" si="14"/>
        <v>8330522.5602593282</v>
      </c>
      <c r="LM21" s="650">
        <f t="shared" si="14"/>
        <v>8403107.5726111662</v>
      </c>
      <c r="LN21" s="794">
        <f t="shared" si="49"/>
        <v>8636064.8647188582</v>
      </c>
      <c r="LO21" s="650">
        <f t="shared" si="50"/>
        <v>531501.26004067343</v>
      </c>
      <c r="LP21" s="650">
        <f t="shared" si="50"/>
        <v>1264376.2110347487</v>
      </c>
      <c r="LQ21" s="650">
        <f t="shared" si="50"/>
        <v>-158453.44460474513</v>
      </c>
      <c r="MA21" s="192">
        <f t="shared" si="80"/>
        <v>15</v>
      </c>
      <c r="MB21" s="194" t="s">
        <v>59</v>
      </c>
      <c r="MC21" s="320">
        <f t="shared" si="102"/>
        <v>109615433.06907611</v>
      </c>
      <c r="MD21" s="331">
        <f t="shared" si="103"/>
        <v>5.0164194785709704</v>
      </c>
      <c r="ME21" s="194"/>
      <c r="MF21" s="332">
        <f>SUM(MF14:MF20)</f>
        <v>109615433.06907611</v>
      </c>
      <c r="MG21" s="331">
        <f t="shared" si="105"/>
        <v>5.0164194785709704</v>
      </c>
      <c r="MK21" s="192">
        <f t="shared" si="81"/>
        <v>15</v>
      </c>
      <c r="ML21" s="194" t="str">
        <f t="shared" si="53"/>
        <v>Total Operating Expenses</v>
      </c>
      <c r="MM21" s="981">
        <v>93608877.605802789</v>
      </c>
      <c r="MN21" s="333">
        <f t="shared" si="106"/>
        <v>109615433.06907611</v>
      </c>
      <c r="MO21" s="333">
        <f t="shared" si="70"/>
        <v>16006555.463273317</v>
      </c>
      <c r="MP21" s="945">
        <f t="shared" si="71"/>
        <v>0.17099398980808925</v>
      </c>
    </row>
    <row r="22" spans="1:357" s="29" customFormat="1" ht="16.5" x14ac:dyDescent="0.3">
      <c r="A22" s="7"/>
      <c r="B22" s="181">
        <f t="shared" si="72"/>
        <v>17</v>
      </c>
      <c r="C22" s="194" t="s">
        <v>220</v>
      </c>
      <c r="D22" s="194"/>
      <c r="E22" s="199"/>
      <c r="F22" s="332">
        <f>F12-F21</f>
        <v>7158976.8429704905</v>
      </c>
      <c r="G22" s="334">
        <f t="shared" si="97"/>
        <v>0.3440865991769031</v>
      </c>
      <c r="H22" s="332">
        <f>H12-H21</f>
        <v>5069183.3865407258</v>
      </c>
      <c r="I22" s="335">
        <f t="shared" si="98"/>
        <v>0.24236717227577007</v>
      </c>
      <c r="J22" s="321">
        <f t="shared" si="54"/>
        <v>-2089793.4564297646</v>
      </c>
      <c r="K22" s="332">
        <f>K12-K21</f>
        <v>22581473.325630128</v>
      </c>
      <c r="L22" s="335">
        <f t="shared" si="99"/>
        <v>1.0292041931202573</v>
      </c>
      <c r="M22" s="321">
        <f t="shared" si="55"/>
        <v>17512289.939089403</v>
      </c>
      <c r="N22" s="332">
        <f>N12-N21</f>
        <v>3721615.9682912529</v>
      </c>
      <c r="O22" s="335">
        <f t="shared" si="100"/>
        <v>0.17031531338595618</v>
      </c>
      <c r="P22" s="321">
        <f t="shared" si="56"/>
        <v>-18859857.357338876</v>
      </c>
      <c r="Q22" s="332">
        <f t="shared" si="57"/>
        <v>-3437360.8746792376</v>
      </c>
      <c r="R22" s="336">
        <f t="shared" si="58"/>
        <v>-0.5050219514698594</v>
      </c>
      <c r="S22" s="12"/>
      <c r="T22" s="13"/>
      <c r="U22" s="12"/>
      <c r="V22" s="337">
        <v>11</v>
      </c>
      <c r="W22" s="809" t="s">
        <v>225</v>
      </c>
      <c r="X22" s="650">
        <f>X18-X7</f>
        <v>-3918532.1471496788</v>
      </c>
      <c r="Y22" s="650">
        <f>Y18-Y7</f>
        <v>-2420731.008830742</v>
      </c>
      <c r="Z22" s="650">
        <f>Z18-Z7</f>
        <v>2901902.0113011552</v>
      </c>
      <c r="AA22" s="650">
        <f>AA18-AA7</f>
        <v>-3437361.1446792656</v>
      </c>
      <c r="AB22" s="230"/>
      <c r="AC22" s="12"/>
      <c r="AD22" s="13"/>
      <c r="AE22" s="12"/>
      <c r="AF22" s="12"/>
      <c r="AG22" s="12"/>
      <c r="AH22" s="12"/>
      <c r="AI22" s="12"/>
      <c r="AJ22" s="12"/>
      <c r="AK22" s="12"/>
      <c r="AL22" s="299"/>
      <c r="AM22" s="12"/>
      <c r="AN22" s="222">
        <v>18</v>
      </c>
      <c r="AO22" s="2"/>
      <c r="AP22" s="317" t="s">
        <v>226</v>
      </c>
      <c r="AQ22" s="5"/>
      <c r="AR22" s="240"/>
      <c r="AS22" s="338"/>
      <c r="AT22" s="234">
        <v>1025480397</v>
      </c>
      <c r="AU22" s="236"/>
      <c r="AV22" s="338"/>
      <c r="AW22" s="234">
        <v>1079178438.6666701</v>
      </c>
      <c r="AX22" s="236"/>
      <c r="AY22" s="235"/>
      <c r="AZ22" s="338"/>
      <c r="BA22" s="234">
        <v>1290136807.9999998</v>
      </c>
      <c r="BB22" s="236"/>
      <c r="BC22" s="235"/>
      <c r="BD22" s="338"/>
      <c r="BE22" s="234">
        <v>1470610844</v>
      </c>
      <c r="BF22" s="236"/>
      <c r="BG22" s="235"/>
      <c r="BH22" s="338"/>
      <c r="BI22" s="234">
        <v>1519641411.6666667</v>
      </c>
      <c r="BJ22" s="236"/>
      <c r="BK22" s="235"/>
      <c r="BL22" s="338"/>
      <c r="BM22" s="234">
        <v>1682130877</v>
      </c>
      <c r="BN22" s="236"/>
      <c r="BO22" s="235"/>
      <c r="BP22" s="338"/>
      <c r="BQ22" s="234">
        <v>1854790824</v>
      </c>
      <c r="BR22" s="236"/>
      <c r="BS22" s="235"/>
      <c r="BT22" s="1057">
        <v>1962055288</v>
      </c>
      <c r="BU22" s="1057"/>
      <c r="BV22" s="1057"/>
      <c r="BW22" s="339"/>
      <c r="BX22" s="12"/>
      <c r="BY22" s="12"/>
      <c r="BZ22" s="340"/>
      <c r="CA22" s="240"/>
      <c r="CB22" s="12"/>
      <c r="CC22" s="959">
        <v>2078388796</v>
      </c>
      <c r="CD22" s="824"/>
      <c r="CE22" s="723"/>
      <c r="CF22" s="853">
        <f>F24</f>
        <v>2080574152</v>
      </c>
      <c r="CG22" s="824"/>
      <c r="CH22" s="723"/>
      <c r="CI22" s="854">
        <f>CF22/AT22-1</f>
        <v>1.0288775466470472</v>
      </c>
      <c r="CJ22" s="723">
        <f>(CI22+1)^(1/(2022-2004))-1</f>
        <v>4.0087240631794696E-2</v>
      </c>
      <c r="CK22" s="12"/>
      <c r="CL22" s="13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3"/>
      <c r="CZ22" s="12"/>
      <c r="DA22" s="12"/>
      <c r="DB22" s="12"/>
      <c r="DC22" s="12"/>
      <c r="DD22" s="12"/>
      <c r="DE22" s="12"/>
      <c r="DF22" s="12"/>
      <c r="DG22" s="16"/>
      <c r="DH22" s="12"/>
      <c r="DI22" s="13"/>
      <c r="DJ22" s="12"/>
      <c r="DK22" s="12"/>
      <c r="DL22" s="12"/>
      <c r="DM22" s="12"/>
      <c r="DN22" s="16"/>
      <c r="DO22" s="12"/>
      <c r="DP22" s="12"/>
      <c r="DQ22" s="12"/>
      <c r="DR22" s="13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3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20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20"/>
      <c r="FI22" s="12"/>
      <c r="FJ22" s="192">
        <f>FJ21+1</f>
        <v>17</v>
      </c>
      <c r="FK22" s="310"/>
      <c r="FL22" s="879" t="s">
        <v>227</v>
      </c>
      <c r="FM22" s="880">
        <v>19302.772499999999</v>
      </c>
      <c r="FN22" s="880">
        <v>12055</v>
      </c>
      <c r="FO22" s="880">
        <v>17639.830000000002</v>
      </c>
      <c r="FP22" s="881">
        <f>FM22+FO22+FN22</f>
        <v>48997.602500000001</v>
      </c>
      <c r="FQ22" s="880">
        <v>0</v>
      </c>
      <c r="FR22" s="880">
        <v>0</v>
      </c>
      <c r="FS22" s="880">
        <v>0</v>
      </c>
      <c r="FT22" s="880">
        <v>0</v>
      </c>
      <c r="FU22" s="955">
        <v>0</v>
      </c>
      <c r="FV22" s="730"/>
      <c r="FW22" s="266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3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3"/>
      <c r="GX22" s="12"/>
      <c r="GY22" s="12"/>
      <c r="GZ22" s="192">
        <v>17</v>
      </c>
      <c r="HA22" s="886">
        <v>17</v>
      </c>
      <c r="HB22" s="886">
        <v>10</v>
      </c>
      <c r="HC22" s="886">
        <v>10</v>
      </c>
      <c r="HD22" s="887">
        <v>184309270</v>
      </c>
      <c r="HE22" s="887">
        <v>185961720</v>
      </c>
      <c r="HF22" s="800">
        <f t="shared" si="22"/>
        <v>1</v>
      </c>
      <c r="HG22" s="800">
        <f t="shared" si="23"/>
        <v>1.0089656369427322</v>
      </c>
      <c r="HH22" s="802">
        <v>0</v>
      </c>
      <c r="HI22" s="802">
        <v>0.2</v>
      </c>
      <c r="HJ22" s="802">
        <v>0.8</v>
      </c>
      <c r="HK22" s="12"/>
      <c r="HL22" s="13"/>
      <c r="HM22" s="12"/>
      <c r="HN22" s="267">
        <v>17</v>
      </c>
      <c r="HO22" s="892">
        <v>17</v>
      </c>
      <c r="HP22" s="799">
        <f t="shared" si="2"/>
        <v>1.0089656369427322</v>
      </c>
      <c r="HQ22" s="860">
        <v>14135.02</v>
      </c>
      <c r="HR22" s="801">
        <f t="shared" si="24"/>
        <v>14261.749457498259</v>
      </c>
      <c r="HS22" s="860">
        <v>20326618</v>
      </c>
      <c r="HT22" s="975">
        <v>20549740</v>
      </c>
      <c r="HU22" s="860">
        <v>9521341.6389999986</v>
      </c>
      <c r="HV22" s="975">
        <v>10477708</v>
      </c>
      <c r="HW22" s="860">
        <v>225000</v>
      </c>
      <c r="HX22" s="955">
        <v>225000</v>
      </c>
      <c r="HY22" s="860">
        <f t="shared" si="25"/>
        <v>9760476.6589999981</v>
      </c>
      <c r="HZ22" s="860">
        <f t="shared" si="25"/>
        <v>10716969.749457499</v>
      </c>
      <c r="IA22" s="206"/>
      <c r="IB22" s="207"/>
      <c r="IC22" s="206"/>
      <c r="ID22" s="208">
        <v>17</v>
      </c>
      <c r="IE22" s="892">
        <v>17</v>
      </c>
      <c r="IF22" s="896">
        <f t="shared" si="3"/>
        <v>1</v>
      </c>
      <c r="IG22" s="897">
        <f t="shared" si="3"/>
        <v>1.0089656369427322</v>
      </c>
      <c r="IH22" s="955">
        <v>3423698.7888018978</v>
      </c>
      <c r="II22" s="801">
        <f t="shared" si="64"/>
        <v>3454394.4291435676</v>
      </c>
      <c r="IJ22" s="955">
        <v>303676.66150000005</v>
      </c>
      <c r="IK22" s="801">
        <f t="shared" si="26"/>
        <v>306399.31619499001</v>
      </c>
      <c r="IL22" s="955">
        <v>1525701.0546981017</v>
      </c>
      <c r="IM22" s="801">
        <f t="shared" si="82"/>
        <v>1525701.0546981017</v>
      </c>
      <c r="IN22" s="955">
        <v>2001256.6207513765</v>
      </c>
      <c r="IO22" s="995">
        <v>2001256.6207513765</v>
      </c>
      <c r="IP22" s="955">
        <v>90945.126999999993</v>
      </c>
      <c r="IQ22" s="801">
        <f t="shared" si="27"/>
        <v>91760.507990392667</v>
      </c>
      <c r="IR22" s="955">
        <v>81740.587999999974</v>
      </c>
      <c r="IS22" s="801">
        <f t="shared" si="28"/>
        <v>82473.444435493424</v>
      </c>
      <c r="IT22" s="955">
        <v>532527.18400000012</v>
      </c>
      <c r="IU22" s="801">
        <f t="shared" si="29"/>
        <v>537301.62939387967</v>
      </c>
      <c r="IV22" s="955">
        <v>902633.89910000004</v>
      </c>
      <c r="IW22" s="801">
        <f t="shared" si="30"/>
        <v>910726.58693153341</v>
      </c>
      <c r="IX22" s="860">
        <f t="shared" si="31"/>
        <v>8862179.9238513745</v>
      </c>
      <c r="IY22" s="860">
        <f t="shared" si="31"/>
        <v>8910013.589539336</v>
      </c>
      <c r="IZ22" s="898">
        <f t="shared" si="4"/>
        <v>4.7913159705875685</v>
      </c>
      <c r="JA22" s="12"/>
      <c r="JB22" s="13"/>
      <c r="JC22" s="12"/>
      <c r="JD22" s="192">
        <v>17</v>
      </c>
      <c r="JE22" s="886">
        <v>17</v>
      </c>
      <c r="JF22" s="796">
        <f t="shared" si="5"/>
        <v>10</v>
      </c>
      <c r="JG22" s="804">
        <f t="shared" ref="JG22:JG25" si="111">JF22</f>
        <v>10</v>
      </c>
      <c r="JH22" s="859">
        <f t="shared" si="6"/>
        <v>185961720</v>
      </c>
      <c r="JI22" s="859">
        <f t="shared" si="83"/>
        <v>185204137.97761306</v>
      </c>
      <c r="JJ22" s="904">
        <f t="shared" si="33"/>
        <v>1</v>
      </c>
      <c r="JK22" s="904">
        <f t="shared" si="34"/>
        <v>0.99592613994758206</v>
      </c>
      <c r="JL22" s="904">
        <f t="shared" si="35"/>
        <v>1.0276968949341037</v>
      </c>
      <c r="JM22" s="886" t="s">
        <v>238</v>
      </c>
      <c r="JN22" s="209"/>
      <c r="JO22" s="210"/>
      <c r="JP22" s="209"/>
      <c r="JQ22" s="192">
        <v>17</v>
      </c>
      <c r="JR22" s="886">
        <v>17</v>
      </c>
      <c r="JS22" s="910" t="str">
        <f t="shared" si="7"/>
        <v>Q3</v>
      </c>
      <c r="JT22" s="911">
        <f t="shared" si="8"/>
        <v>1.0276968949341037</v>
      </c>
      <c r="JU22" s="860">
        <f t="shared" si="36"/>
        <v>14261.749457498259</v>
      </c>
      <c r="JV22" s="860">
        <f t="shared" si="37"/>
        <v>14656.755633799099</v>
      </c>
      <c r="JW22" s="860">
        <f t="shared" si="9"/>
        <v>20549740</v>
      </c>
      <c r="JX22" s="860">
        <f t="shared" si="38"/>
        <v>20433777.40316467</v>
      </c>
      <c r="JY22" s="860">
        <f t="shared" si="10"/>
        <v>10477708</v>
      </c>
      <c r="JZ22" s="860">
        <f t="shared" si="11"/>
        <v>9175129.4969067443</v>
      </c>
      <c r="KA22" s="860">
        <f t="shared" si="39"/>
        <v>225000</v>
      </c>
      <c r="KB22" s="860">
        <f t="shared" si="40"/>
        <v>402559.19736098708</v>
      </c>
      <c r="KC22" s="860">
        <f t="shared" si="41"/>
        <v>10716969.749457499</v>
      </c>
      <c r="KD22" s="860">
        <f t="shared" si="41"/>
        <v>9592345.4499015305</v>
      </c>
      <c r="KE22" s="211"/>
      <c r="KF22" s="210"/>
      <c r="KG22" s="209"/>
      <c r="KH22" s="243">
        <f t="shared" si="65"/>
        <v>17</v>
      </c>
      <c r="KI22" s="891">
        <v>16</v>
      </c>
      <c r="KJ22" s="920">
        <f t="shared" si="66"/>
        <v>1</v>
      </c>
      <c r="KK22" s="920">
        <f t="shared" si="66"/>
        <v>0.99592613994758195</v>
      </c>
      <c r="KL22" s="683">
        <v>1.6626666699999999</v>
      </c>
      <c r="KM22" s="794">
        <f t="shared" si="67"/>
        <v>2845840.5306376745</v>
      </c>
      <c r="KN22" s="683">
        <v>1.6626666699999999</v>
      </c>
      <c r="KO22" s="794">
        <f t="shared" si="42"/>
        <v>62476.5078805909</v>
      </c>
      <c r="KP22" s="683">
        <v>1.6626666699999999</v>
      </c>
      <c r="KQ22" s="794">
        <f t="shared" si="43"/>
        <v>1537414.6578477176</v>
      </c>
      <c r="KR22" s="683">
        <v>1.6626666699999999</v>
      </c>
      <c r="KS22" s="794">
        <f t="shared" si="68"/>
        <v>1942792.1678812166</v>
      </c>
      <c r="KT22" s="683">
        <v>1.6626666699999999</v>
      </c>
      <c r="KU22" s="794">
        <f t="shared" si="44"/>
        <v>141258.65845483186</v>
      </c>
      <c r="KV22" s="683">
        <v>1.6626666699999999</v>
      </c>
      <c r="KW22" s="794">
        <f t="shared" si="45"/>
        <v>55141.035442317581</v>
      </c>
      <c r="KX22" s="683">
        <v>1.6626666699999999</v>
      </c>
      <c r="KY22" s="794">
        <f t="shared" si="46"/>
        <v>1096295.6278222455</v>
      </c>
      <c r="KZ22" s="683">
        <v>1.6626666699999999</v>
      </c>
      <c r="LA22" s="794">
        <f t="shared" si="47"/>
        <v>954845.67875226319</v>
      </c>
      <c r="LB22" s="650">
        <f t="shared" si="48"/>
        <v>8403107.5726111662</v>
      </c>
      <c r="LC22" s="650">
        <f t="shared" si="79"/>
        <v>8636064.8647188582</v>
      </c>
      <c r="LD22" s="16"/>
      <c r="LE22" s="220"/>
      <c r="LF22" s="12"/>
      <c r="LG22" s="192">
        <v>17</v>
      </c>
      <c r="LH22" s="921">
        <v>17</v>
      </c>
      <c r="LI22" s="860">
        <f t="shared" si="12"/>
        <v>9760476.6589999981</v>
      </c>
      <c r="LJ22" s="860">
        <f t="shared" si="12"/>
        <v>10716969.749457499</v>
      </c>
      <c r="LK22" s="801">
        <f t="shared" si="13"/>
        <v>9592345.4499015305</v>
      </c>
      <c r="LL22" s="860">
        <f t="shared" si="14"/>
        <v>8862179.9238513745</v>
      </c>
      <c r="LM22" s="860">
        <f t="shared" si="14"/>
        <v>8910013.589539336</v>
      </c>
      <c r="LN22" s="801">
        <f t="shared" si="49"/>
        <v>9156793.2997902427</v>
      </c>
      <c r="LO22" s="860">
        <f t="shared" si="50"/>
        <v>898296.73514862359</v>
      </c>
      <c r="LP22" s="860">
        <f t="shared" si="50"/>
        <v>1806956.159918163</v>
      </c>
      <c r="LQ22" s="860">
        <f t="shared" si="50"/>
        <v>435552.15011128783</v>
      </c>
      <c r="LR22" s="12"/>
      <c r="LS22" s="13"/>
      <c r="LT22" s="12"/>
      <c r="LU22" s="12"/>
      <c r="LV22" s="12"/>
      <c r="LW22" s="12"/>
      <c r="LX22" s="12"/>
      <c r="LY22" s="13"/>
      <c r="LZ22" s="12"/>
      <c r="MA22" s="222">
        <f t="shared" si="80"/>
        <v>16</v>
      </c>
      <c r="MB22" s="18"/>
      <c r="MC22" s="230"/>
      <c r="MD22" s="268"/>
      <c r="ME22" s="12"/>
      <c r="MF22" s="225"/>
      <c r="MG22" s="268"/>
      <c r="MH22" s="12"/>
      <c r="MI22" s="13"/>
      <c r="MJ22" s="12"/>
      <c r="MK22" s="222">
        <f t="shared" si="81"/>
        <v>16</v>
      </c>
      <c r="ML22" s="18"/>
      <c r="MM22" s="230"/>
      <c r="MN22" s="230"/>
      <c r="MO22" s="230"/>
      <c r="MP22" s="240"/>
      <c r="MQ22" s="12"/>
      <c r="MR22" s="13"/>
      <c r="MS22" s="12"/>
    </row>
    <row r="23" spans="1:357" ht="17.25" thickBot="1" x14ac:dyDescent="0.35">
      <c r="A23" s="5"/>
      <c r="B23" s="328" t="s">
        <v>228</v>
      </c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V23" s="342">
        <v>12</v>
      </c>
      <c r="W23" s="810" t="s">
        <v>229</v>
      </c>
      <c r="X23" s="811">
        <f>X19/X8-1</f>
        <v>-43.162243284268186</v>
      </c>
      <c r="Y23" s="811">
        <f>Y19/Y8-1</f>
        <v>-0.76105965228991235</v>
      </c>
      <c r="Z23" s="811">
        <f>Z19/Z8-1</f>
        <v>0.67155973360977028</v>
      </c>
      <c r="AA23" s="811">
        <f>AA19/AA8-1</f>
        <v>-0.50502197013790162</v>
      </c>
      <c r="AB23" s="229"/>
      <c r="AL23" s="299"/>
      <c r="AN23" s="302">
        <v>19</v>
      </c>
      <c r="AO23" s="343"/>
      <c r="AP23" s="344" t="s">
        <v>230</v>
      </c>
      <c r="AQ23" s="345"/>
      <c r="AR23" s="346"/>
      <c r="AS23" s="347"/>
      <c r="AT23" s="348">
        <v>158</v>
      </c>
      <c r="AU23" s="349"/>
      <c r="AV23" s="347"/>
      <c r="AW23" s="348">
        <v>165</v>
      </c>
      <c r="AX23" s="349"/>
      <c r="AY23" s="350"/>
      <c r="AZ23" s="347"/>
      <c r="BA23" s="348">
        <v>184</v>
      </c>
      <c r="BB23" s="349"/>
      <c r="BC23" s="350"/>
      <c r="BD23" s="347"/>
      <c r="BE23" s="348">
        <v>190</v>
      </c>
      <c r="BF23" s="349"/>
      <c r="BG23" s="350"/>
      <c r="BH23" s="347"/>
      <c r="BI23" s="348">
        <v>191</v>
      </c>
      <c r="BJ23" s="349"/>
      <c r="BK23" s="350"/>
      <c r="BL23" s="347"/>
      <c r="BM23" s="348">
        <v>195</v>
      </c>
      <c r="BN23" s="349"/>
      <c r="BO23" s="350"/>
      <c r="BP23" s="347"/>
      <c r="BQ23" s="348">
        <v>189</v>
      </c>
      <c r="BR23" s="349"/>
      <c r="BS23" s="350"/>
      <c r="BT23" s="1058">
        <v>179</v>
      </c>
      <c r="BU23" s="1058"/>
      <c r="BV23" s="1058"/>
      <c r="BW23" s="352"/>
      <c r="BX23" s="351"/>
      <c r="BY23" s="351"/>
      <c r="BZ23" s="353"/>
      <c r="CA23" s="354"/>
      <c r="CB23" s="29"/>
      <c r="CC23" s="960">
        <v>205</v>
      </c>
      <c r="CD23" s="856"/>
      <c r="CE23" s="857"/>
      <c r="CF23" s="855">
        <f>F25</f>
        <v>202</v>
      </c>
      <c r="CG23" s="856"/>
      <c r="CH23" s="857"/>
      <c r="CI23" s="858">
        <f>CF23/AT23-1</f>
        <v>0.27848101265822778</v>
      </c>
      <c r="CJ23" s="857">
        <f t="shared" si="96"/>
        <v>1.3742047067800689E-2</v>
      </c>
      <c r="DD23" s="12"/>
      <c r="DU23" s="12"/>
      <c r="DV23" s="12"/>
      <c r="DW23" s="12"/>
      <c r="DX23" s="12"/>
      <c r="DY23" s="12"/>
      <c r="ER23" s="356"/>
      <c r="FH23" s="356"/>
      <c r="FJ23" s="222">
        <f t="shared" si="78"/>
        <v>18</v>
      </c>
      <c r="FK23" s="242"/>
      <c r="FL23" s="877" t="s">
        <v>231</v>
      </c>
      <c r="FM23" s="650">
        <v>195427.44259999992</v>
      </c>
      <c r="FN23" s="650">
        <v>402633.97485000012</v>
      </c>
      <c r="FO23" s="650">
        <v>551207.68739999982</v>
      </c>
      <c r="FP23" s="794">
        <f>FM23+FO23+FN23</f>
        <v>1149269.1048499998</v>
      </c>
      <c r="FQ23" s="650">
        <v>196190.71665227265</v>
      </c>
      <c r="FR23" s="650">
        <v>402633.97485000012</v>
      </c>
      <c r="FS23" s="650">
        <v>557207.68739999982</v>
      </c>
      <c r="FT23" s="650">
        <v>1156032.3789022726</v>
      </c>
      <c r="FU23" s="955">
        <v>1156032.3789022726</v>
      </c>
      <c r="FV23" s="730"/>
      <c r="FW23" s="266"/>
      <c r="GZ23" s="222">
        <v>18</v>
      </c>
      <c r="HA23" s="663">
        <v>18</v>
      </c>
      <c r="HB23" s="999">
        <v>10</v>
      </c>
      <c r="HC23" s="999">
        <v>11</v>
      </c>
      <c r="HD23" s="682">
        <v>215577606</v>
      </c>
      <c r="HE23" s="682">
        <v>242653123</v>
      </c>
      <c r="HF23" s="724">
        <f t="shared" si="22"/>
        <v>1.1000000000000001</v>
      </c>
      <c r="HG23" s="724">
        <f t="shared" si="23"/>
        <v>1.1255952206835436</v>
      </c>
      <c r="HH23" s="723">
        <v>0</v>
      </c>
      <c r="HI23" s="1000">
        <v>0</v>
      </c>
      <c r="HJ23" s="1000">
        <v>1</v>
      </c>
      <c r="HN23" s="243">
        <v>18</v>
      </c>
      <c r="HO23" s="891">
        <v>18</v>
      </c>
      <c r="HP23" s="793">
        <f t="shared" si="2"/>
        <v>1.1255952206835436</v>
      </c>
      <c r="HQ23" s="650">
        <v>3765</v>
      </c>
      <c r="HR23" s="794">
        <f t="shared" si="24"/>
        <v>4237.8660058735413</v>
      </c>
      <c r="HS23" s="650">
        <v>24108935</v>
      </c>
      <c r="HT23" s="975">
        <v>27145426</v>
      </c>
      <c r="HU23" s="650">
        <v>10760066.173500001</v>
      </c>
      <c r="HV23" s="975">
        <v>14076047</v>
      </c>
      <c r="HW23" s="650">
        <v>225000</v>
      </c>
      <c r="HX23" s="955">
        <v>247500</v>
      </c>
      <c r="HY23" s="650">
        <f t="shared" si="25"/>
        <v>10988831.173500001</v>
      </c>
      <c r="HZ23" s="650">
        <f t="shared" si="25"/>
        <v>14327784.866005873</v>
      </c>
      <c r="IA23" s="206"/>
      <c r="IB23" s="207"/>
      <c r="IC23" s="206"/>
      <c r="ID23" s="244">
        <v>18</v>
      </c>
      <c r="IE23" s="891">
        <v>18</v>
      </c>
      <c r="IF23" s="899">
        <f t="shared" si="3"/>
        <v>1.1000000000000001</v>
      </c>
      <c r="IG23" s="900">
        <f t="shared" si="3"/>
        <v>1.1255952206835436</v>
      </c>
      <c r="IH23" s="955">
        <v>3459154.9380523348</v>
      </c>
      <c r="II23" s="794">
        <f t="shared" si="64"/>
        <v>3893608.2658755872</v>
      </c>
      <c r="IJ23" s="955">
        <v>152230.48199999999</v>
      </c>
      <c r="IK23" s="794">
        <f t="shared" si="26"/>
        <v>171349.90298155221</v>
      </c>
      <c r="IL23" s="955">
        <v>1327169.919947665</v>
      </c>
      <c r="IM23" s="794">
        <f t="shared" si="82"/>
        <v>1459886.9119424315</v>
      </c>
      <c r="IN23" s="955">
        <v>2225370.6313538007</v>
      </c>
      <c r="IO23" s="995">
        <v>2567096.6016763039</v>
      </c>
      <c r="IP23" s="955">
        <v>185070.00999999998</v>
      </c>
      <c r="IQ23" s="794">
        <f t="shared" si="27"/>
        <v>208313.91874785558</v>
      </c>
      <c r="IR23" s="955">
        <v>86296.820999999967</v>
      </c>
      <c r="IS23" s="794">
        <f t="shared" si="28"/>
        <v>97135.289277783217</v>
      </c>
      <c r="IT23" s="955">
        <v>536489.61</v>
      </c>
      <c r="IU23" s="794">
        <f t="shared" si="29"/>
        <v>603870.14096237824</v>
      </c>
      <c r="IV23" s="955">
        <v>1603178.8900000001</v>
      </c>
      <c r="IW23" s="794">
        <f t="shared" si="30"/>
        <v>1804530.4964847486</v>
      </c>
      <c r="IX23" s="650">
        <f t="shared" si="31"/>
        <v>9574961.3023538012</v>
      </c>
      <c r="IY23" s="650">
        <f t="shared" si="31"/>
        <v>10805791.52794864</v>
      </c>
      <c r="IZ23" s="683">
        <f t="shared" si="4"/>
        <v>4.453184609517117</v>
      </c>
      <c r="JD23" s="222">
        <v>18</v>
      </c>
      <c r="JE23" s="663">
        <v>18</v>
      </c>
      <c r="JF23" s="660">
        <f t="shared" si="5"/>
        <v>11</v>
      </c>
      <c r="JG23" s="729">
        <f t="shared" si="111"/>
        <v>11</v>
      </c>
      <c r="JH23" s="905">
        <f t="shared" si="6"/>
        <v>242653123</v>
      </c>
      <c r="JI23" s="905">
        <f t="shared" si="83"/>
        <v>241664588.13561583</v>
      </c>
      <c r="JJ23" s="906">
        <f t="shared" si="33"/>
        <v>1</v>
      </c>
      <c r="JK23" s="906">
        <f t="shared" si="34"/>
        <v>0.99592613994758195</v>
      </c>
      <c r="JL23" s="906">
        <f t="shared" si="35"/>
        <v>1.0413789090992904</v>
      </c>
      <c r="JM23" s="663" t="s">
        <v>425</v>
      </c>
      <c r="JN23" s="209"/>
      <c r="JO23" s="210"/>
      <c r="JP23" s="209"/>
      <c r="JQ23" s="222">
        <v>18</v>
      </c>
      <c r="JR23" s="663">
        <v>18</v>
      </c>
      <c r="JS23" s="914" t="str">
        <f t="shared" si="7"/>
        <v>Q2</v>
      </c>
      <c r="JT23" s="913">
        <f t="shared" si="8"/>
        <v>1.0413789090992904</v>
      </c>
      <c r="JU23" s="671">
        <f t="shared" si="36"/>
        <v>4237.8660058735413</v>
      </c>
      <c r="JV23" s="671">
        <f t="shared" si="37"/>
        <v>4413.2242781055556</v>
      </c>
      <c r="JW23" s="671">
        <f t="shared" si="9"/>
        <v>27145426</v>
      </c>
      <c r="JX23" s="671">
        <f t="shared" si="38"/>
        <v>26663121.321768466</v>
      </c>
      <c r="JY23" s="671">
        <f t="shared" si="10"/>
        <v>14076047</v>
      </c>
      <c r="JZ23" s="671">
        <f t="shared" si="11"/>
        <v>11972215.713824546</v>
      </c>
      <c r="KA23" s="671">
        <f t="shared" si="39"/>
        <v>247500</v>
      </c>
      <c r="KB23" s="671">
        <f t="shared" si="40"/>
        <v>525281.47423037852</v>
      </c>
      <c r="KC23" s="671">
        <f t="shared" si="41"/>
        <v>14327784.866005873</v>
      </c>
      <c r="KD23" s="671">
        <f t="shared" si="41"/>
        <v>12501910.41233303</v>
      </c>
      <c r="KE23" s="211"/>
      <c r="KF23" s="210"/>
      <c r="KG23" s="209"/>
      <c r="KH23" s="245">
        <f t="shared" si="65"/>
        <v>18</v>
      </c>
      <c r="KI23" s="917">
        <v>17</v>
      </c>
      <c r="KJ23" s="918">
        <f t="shared" si="66"/>
        <v>1</v>
      </c>
      <c r="KK23" s="918">
        <f t="shared" si="66"/>
        <v>0.99592613994758206</v>
      </c>
      <c r="KL23" s="898">
        <v>1.6626666699999999</v>
      </c>
      <c r="KM23" s="801">
        <f t="shared" si="67"/>
        <v>3544331.4424684658</v>
      </c>
      <c r="KN23" s="898">
        <v>1.6626666699999999</v>
      </c>
      <c r="KO23" s="801">
        <f t="shared" si="42"/>
        <v>314376.5868711127</v>
      </c>
      <c r="KP23" s="898">
        <v>1.6626666699999999</v>
      </c>
      <c r="KQ23" s="801">
        <f t="shared" si="43"/>
        <v>1571826.9035040811</v>
      </c>
      <c r="KR23" s="898">
        <v>1.6626666699999999</v>
      </c>
      <c r="KS23" s="801">
        <f t="shared" si="68"/>
        <v>2061759.7317812166</v>
      </c>
      <c r="KT23" s="898">
        <v>1.6626666699999999</v>
      </c>
      <c r="KU23" s="801">
        <f t="shared" si="44"/>
        <v>94149.542074111203</v>
      </c>
      <c r="KV23" s="898">
        <v>1.6626666699999999</v>
      </c>
      <c r="KW23" s="801">
        <f t="shared" si="45"/>
        <v>84620.684834148255</v>
      </c>
      <c r="KX23" s="898">
        <v>1.6626666699999999</v>
      </c>
      <c r="KY23" s="801">
        <f t="shared" si="46"/>
        <v>551290.56574538595</v>
      </c>
      <c r="KZ23" s="898">
        <v>1.6626666699999999</v>
      </c>
      <c r="LA23" s="919">
        <f t="shared" si="47"/>
        <v>934437.84251172142</v>
      </c>
      <c r="LB23" s="646">
        <f t="shared" si="48"/>
        <v>8910013.589539336</v>
      </c>
      <c r="LC23" s="646">
        <f t="shared" si="79"/>
        <v>9156793.2997902427</v>
      </c>
      <c r="LD23" s="16"/>
      <c r="LE23" s="220"/>
      <c r="LG23" s="222">
        <v>18</v>
      </c>
      <c r="LH23" s="922">
        <v>18</v>
      </c>
      <c r="LI23" s="650">
        <f t="shared" si="12"/>
        <v>10988831.173500001</v>
      </c>
      <c r="LJ23" s="650">
        <f t="shared" si="12"/>
        <v>14327784.866005873</v>
      </c>
      <c r="LK23" s="794">
        <f t="shared" si="13"/>
        <v>12501910.41233303</v>
      </c>
      <c r="LL23" s="650">
        <f t="shared" si="14"/>
        <v>9574961.3023538012</v>
      </c>
      <c r="LM23" s="650">
        <f t="shared" si="14"/>
        <v>10805791.52794864</v>
      </c>
      <c r="LN23" s="794">
        <f t="shared" si="49"/>
        <v>11252923.393329509</v>
      </c>
      <c r="LO23" s="650">
        <f t="shared" si="50"/>
        <v>1413869.8711462002</v>
      </c>
      <c r="LP23" s="650">
        <f t="shared" si="50"/>
        <v>3521993.338057233</v>
      </c>
      <c r="LQ23" s="650">
        <f t="shared" si="50"/>
        <v>1248987.0190035217</v>
      </c>
      <c r="MA23" s="192">
        <f>MA22+1</f>
        <v>17</v>
      </c>
      <c r="MB23" s="194" t="s">
        <v>232</v>
      </c>
      <c r="MC23" s="320">
        <f>'ABDA 8 month Phase I'!LW13</f>
        <v>19979835.239455521</v>
      </c>
      <c r="MD23" s="331">
        <f>MC23/$MC$34*100</f>
        <v>0.9143533156565955</v>
      </c>
      <c r="ME23" s="194"/>
      <c r="MF23" s="357">
        <f>(MF8+MF21)/(1-'ABDA 8 month Phase I'!LW11)-(MF8+MF21)</f>
        <v>19979835.239455521</v>
      </c>
      <c r="MG23" s="331">
        <f>MF23/$MG$34*100</f>
        <v>0.9143533156565955</v>
      </c>
      <c r="MK23" s="192">
        <f>MK22+1</f>
        <v>17</v>
      </c>
      <c r="ML23" s="194" t="str">
        <f>MB23</f>
        <v>Total Return</v>
      </c>
      <c r="MM23" s="981">
        <v>18998322.143907189</v>
      </c>
      <c r="MN23" s="320">
        <f>MC23</f>
        <v>19979835.239455521</v>
      </c>
      <c r="MO23" s="320">
        <f t="shared" si="70"/>
        <v>981513.09554833174</v>
      </c>
      <c r="MP23" s="802">
        <f>MO23/MM23</f>
        <v>5.1663146256476417E-2</v>
      </c>
    </row>
    <row r="24" spans="1:357" s="29" customFormat="1" ht="16.5" x14ac:dyDescent="0.3">
      <c r="A24" s="7"/>
      <c r="B24" s="358">
        <f>B22+1</f>
        <v>18</v>
      </c>
      <c r="C24" s="359" t="s">
        <v>226</v>
      </c>
      <c r="D24" s="359"/>
      <c r="E24" s="360"/>
      <c r="F24" s="1059">
        <f>GQ6</f>
        <v>2080574152</v>
      </c>
      <c r="G24" s="1060"/>
      <c r="H24" s="1059">
        <f>GU6</f>
        <v>2091530523.2727273</v>
      </c>
      <c r="I24" s="1061"/>
      <c r="J24" s="1060"/>
      <c r="K24" s="1059">
        <f>HE26</f>
        <v>2194071252</v>
      </c>
      <c r="L24" s="1061"/>
      <c r="M24" s="1060"/>
      <c r="N24" s="1059">
        <f>JI26</f>
        <v>2185132912.7743182</v>
      </c>
      <c r="O24" s="1061"/>
      <c r="P24" s="1060"/>
      <c r="Q24" s="361">
        <f t="shared" ref="Q24" si="112">N24-F24</f>
        <v>104558760.77431822</v>
      </c>
      <c r="R24" s="362">
        <f>N24/F24-1</f>
        <v>5.0254762933495289E-2</v>
      </c>
      <c r="S24" s="12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3"/>
      <c r="AE24" s="12"/>
      <c r="AF24" s="12"/>
      <c r="AG24" s="12"/>
      <c r="AH24" s="12"/>
      <c r="AI24" s="12"/>
      <c r="AJ24" s="12"/>
      <c r="AK24" s="12"/>
      <c r="AL24" s="29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3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3"/>
      <c r="CZ24" s="12"/>
      <c r="DA24" s="12"/>
      <c r="DB24" s="12"/>
      <c r="DC24" s="12"/>
      <c r="DD24" s="16"/>
      <c r="DE24" s="12"/>
      <c r="DF24" s="12"/>
      <c r="DG24" s="12"/>
      <c r="DH24" s="12"/>
      <c r="DI24" s="13"/>
      <c r="DJ24" s="12"/>
      <c r="DK24" s="12"/>
      <c r="DL24" s="12"/>
      <c r="DM24" s="12"/>
      <c r="DN24" s="16"/>
      <c r="DO24" s="12"/>
      <c r="DP24" s="12"/>
      <c r="DQ24" s="12"/>
      <c r="DR24" s="13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3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3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3"/>
      <c r="FI24" s="12"/>
      <c r="FJ24" s="363">
        <f t="shared" si="78"/>
        <v>19</v>
      </c>
      <c r="FK24" s="364"/>
      <c r="FL24" s="365" t="s">
        <v>221</v>
      </c>
      <c r="FM24" s="366">
        <f>SUM(FM22:FM23)</f>
        <v>214730.21509999991</v>
      </c>
      <c r="FN24" s="366">
        <f>SUM(FN22:FN23)</f>
        <v>414688.97485000012</v>
      </c>
      <c r="FO24" s="366">
        <f>SUM(FO22:FO23)</f>
        <v>568847.51739999978</v>
      </c>
      <c r="FP24" s="367">
        <f>FM24+FO24+FN24</f>
        <v>1198266.7073499998</v>
      </c>
      <c r="FQ24" s="366">
        <v>196190.71665227265</v>
      </c>
      <c r="FR24" s="366">
        <v>402633.97485000012</v>
      </c>
      <c r="FS24" s="366">
        <v>557207.68739999982</v>
      </c>
      <c r="FT24" s="366">
        <v>1156032.3789022726</v>
      </c>
      <c r="FU24" s="971">
        <v>1156032.3789022726</v>
      </c>
      <c r="FV24" s="16"/>
      <c r="FW24" s="266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3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3"/>
      <c r="GX24" s="12"/>
      <c r="GY24" s="12"/>
      <c r="GZ24" s="192">
        <v>19</v>
      </c>
      <c r="HA24" s="886">
        <v>19</v>
      </c>
      <c r="HB24" s="886">
        <v>11</v>
      </c>
      <c r="HC24" s="886">
        <v>11</v>
      </c>
      <c r="HD24" s="887">
        <v>281168952.5</v>
      </c>
      <c r="HE24" s="887">
        <v>288278105</v>
      </c>
      <c r="HF24" s="800">
        <f t="shared" si="22"/>
        <v>1</v>
      </c>
      <c r="HG24" s="800">
        <f t="shared" si="23"/>
        <v>1.025284272807468</v>
      </c>
      <c r="HH24" s="802">
        <v>0</v>
      </c>
      <c r="HI24" s="1000">
        <v>9.0909090909090912E-2</v>
      </c>
      <c r="HJ24" s="1000">
        <v>0.90909090909090906</v>
      </c>
      <c r="HK24" s="12"/>
      <c r="HL24" s="13"/>
      <c r="HM24" s="12"/>
      <c r="HN24" s="267">
        <v>19</v>
      </c>
      <c r="HO24" s="892">
        <v>19</v>
      </c>
      <c r="HP24" s="799">
        <f t="shared" si="2"/>
        <v>1.025284272807468</v>
      </c>
      <c r="HQ24" s="860">
        <v>1328.64</v>
      </c>
      <c r="HR24" s="801">
        <f t="shared" si="24"/>
        <v>1362.2336962229144</v>
      </c>
      <c r="HS24" s="860">
        <v>32365939</v>
      </c>
      <c r="HT24" s="975">
        <v>32214175</v>
      </c>
      <c r="HU24" s="860">
        <v>14825604.0823</v>
      </c>
      <c r="HV24" s="975">
        <v>16732387</v>
      </c>
      <c r="HW24" s="860">
        <v>247500</v>
      </c>
      <c r="HX24" s="955">
        <v>247500</v>
      </c>
      <c r="HY24" s="860">
        <f t="shared" si="25"/>
        <v>15074432.7223</v>
      </c>
      <c r="HZ24" s="860">
        <f t="shared" si="25"/>
        <v>16981249.233696222</v>
      </c>
      <c r="IA24" s="206"/>
      <c r="IB24" s="207"/>
      <c r="IC24" s="206"/>
      <c r="ID24" s="208">
        <v>19</v>
      </c>
      <c r="IE24" s="892">
        <v>19</v>
      </c>
      <c r="IF24" s="896">
        <f t="shared" si="3"/>
        <v>1</v>
      </c>
      <c r="IG24" s="897">
        <f t="shared" si="3"/>
        <v>1.025284272807468</v>
      </c>
      <c r="IH24" s="955">
        <v>4832384.6993265636</v>
      </c>
      <c r="II24" s="801">
        <f t="shared" si="64"/>
        <v>4954568.0323749706</v>
      </c>
      <c r="IJ24" s="955">
        <v>73302.798999999999</v>
      </c>
      <c r="IK24" s="801">
        <f t="shared" si="26"/>
        <v>75156.206967466991</v>
      </c>
      <c r="IL24" s="955">
        <v>1795439.9916734365</v>
      </c>
      <c r="IM24" s="801">
        <f t="shared" si="82"/>
        <v>1795439.9916734365</v>
      </c>
      <c r="IN24" s="955">
        <v>2524707.7237054296</v>
      </c>
      <c r="IO24" s="995">
        <v>2594062.5496446453</v>
      </c>
      <c r="IP24" s="955">
        <v>136160.67300000007</v>
      </c>
      <c r="IQ24" s="801">
        <f t="shared" si="27"/>
        <v>139603.39660178052</v>
      </c>
      <c r="IR24" s="955">
        <v>123511.94300000001</v>
      </c>
      <c r="IS24" s="801">
        <f t="shared" si="28"/>
        <v>126634.85266179245</v>
      </c>
      <c r="IT24" s="955">
        <v>1057746.7799999998</v>
      </c>
      <c r="IU24" s="801">
        <f t="shared" si="29"/>
        <v>1084491.1381467406</v>
      </c>
      <c r="IV24" s="955">
        <v>1391412.84</v>
      </c>
      <c r="IW24" s="801">
        <f t="shared" si="30"/>
        <v>1426593.7018343739</v>
      </c>
      <c r="IX24" s="860">
        <f t="shared" si="31"/>
        <v>11934667.449705429</v>
      </c>
      <c r="IY24" s="860">
        <f t="shared" si="31"/>
        <v>12196549.869905207</v>
      </c>
      <c r="IZ24" s="898">
        <f t="shared" si="4"/>
        <v>4.2308276828395304</v>
      </c>
      <c r="JA24" s="12"/>
      <c r="JB24" s="13"/>
      <c r="JC24" s="12"/>
      <c r="JD24" s="192">
        <v>19</v>
      </c>
      <c r="JE24" s="886">
        <v>19</v>
      </c>
      <c r="JF24" s="796">
        <f t="shared" si="5"/>
        <v>11</v>
      </c>
      <c r="JG24" s="804">
        <f t="shared" si="111"/>
        <v>11</v>
      </c>
      <c r="JH24" s="859">
        <f t="shared" si="6"/>
        <v>288278105</v>
      </c>
      <c r="JI24" s="859">
        <f t="shared" si="83"/>
        <v>287103700.34405375</v>
      </c>
      <c r="JJ24" s="904">
        <f t="shared" si="33"/>
        <v>1</v>
      </c>
      <c r="JK24" s="904">
        <f t="shared" si="34"/>
        <v>0.99592613994758206</v>
      </c>
      <c r="JL24" s="904">
        <f t="shared" si="35"/>
        <v>1.0275460331833304</v>
      </c>
      <c r="JM24" s="886" t="s">
        <v>238</v>
      </c>
      <c r="JN24" s="209"/>
      <c r="JO24" s="210"/>
      <c r="JP24" s="209"/>
      <c r="JQ24" s="192">
        <v>19</v>
      </c>
      <c r="JR24" s="886">
        <v>19</v>
      </c>
      <c r="JS24" s="910" t="str">
        <f t="shared" si="7"/>
        <v>Q3</v>
      </c>
      <c r="JT24" s="911">
        <f t="shared" si="8"/>
        <v>1.0275460331833304</v>
      </c>
      <c r="JU24" s="860">
        <f t="shared" si="36"/>
        <v>1362.2336962229144</v>
      </c>
      <c r="JV24" s="860">
        <f t="shared" si="37"/>
        <v>1399.7578308225216</v>
      </c>
      <c r="JW24" s="860">
        <f t="shared" si="9"/>
        <v>32214175</v>
      </c>
      <c r="JX24" s="860">
        <f t="shared" si="38"/>
        <v>31676468.833349854</v>
      </c>
      <c r="JY24" s="860">
        <f t="shared" si="10"/>
        <v>16732387</v>
      </c>
      <c r="JZ24" s="860">
        <f t="shared" si="11"/>
        <v>14223297.915817726</v>
      </c>
      <c r="KA24" s="860">
        <f t="shared" si="39"/>
        <v>247500</v>
      </c>
      <c r="KB24" s="860">
        <f t="shared" si="40"/>
        <v>624047.80169567338</v>
      </c>
      <c r="KC24" s="860">
        <f t="shared" si="41"/>
        <v>16981249.233696222</v>
      </c>
      <c r="KD24" s="860">
        <f t="shared" si="41"/>
        <v>14848745.475344222</v>
      </c>
      <c r="KE24" s="211"/>
      <c r="KF24" s="210"/>
      <c r="KG24" s="209"/>
      <c r="KH24" s="243">
        <f t="shared" si="65"/>
        <v>19</v>
      </c>
      <c r="KI24" s="891">
        <v>18</v>
      </c>
      <c r="KJ24" s="920">
        <f t="shared" si="66"/>
        <v>1</v>
      </c>
      <c r="KK24" s="920">
        <f t="shared" si="66"/>
        <v>0.99592613994758195</v>
      </c>
      <c r="KL24" s="683">
        <v>1.6406666700000001</v>
      </c>
      <c r="KM24" s="794">
        <f t="shared" si="67"/>
        <v>4048549.8720386322</v>
      </c>
      <c r="KN24" s="683">
        <v>1.6406666700000001</v>
      </c>
      <c r="KO24" s="794">
        <f t="shared" si="42"/>
        <v>178168.57280422718</v>
      </c>
      <c r="KP24" s="683">
        <v>1.6406666700000001</v>
      </c>
      <c r="KQ24" s="794">
        <f t="shared" si="43"/>
        <v>1524190.7511266959</v>
      </c>
      <c r="KR24" s="683">
        <v>1.6406666700000001</v>
      </c>
      <c r="KS24" s="794">
        <f t="shared" si="68"/>
        <v>2680169.8580321865</v>
      </c>
      <c r="KT24" s="683">
        <v>1.6406666700000001</v>
      </c>
      <c r="KU24" s="794">
        <f t="shared" si="44"/>
        <v>216603.52852698741</v>
      </c>
      <c r="KV24" s="683">
        <v>1.6406666700000001</v>
      </c>
      <c r="KW24" s="794">
        <f t="shared" si="45"/>
        <v>101000.67498381733</v>
      </c>
      <c r="KX24" s="683">
        <v>1.6406666700000001</v>
      </c>
      <c r="KY24" s="794">
        <f t="shared" si="46"/>
        <v>627900.44991118426</v>
      </c>
      <c r="KZ24" s="683">
        <v>1.6406666700000001</v>
      </c>
      <c r="LA24" s="794">
        <f t="shared" si="47"/>
        <v>1876339.6859057776</v>
      </c>
      <c r="LB24" s="650">
        <f t="shared" si="48"/>
        <v>10805791.52794864</v>
      </c>
      <c r="LC24" s="650">
        <f t="shared" si="79"/>
        <v>11252923.393329509</v>
      </c>
      <c r="LD24" s="16"/>
      <c r="LE24" s="220"/>
      <c r="LF24" s="12"/>
      <c r="LG24" s="192">
        <v>19</v>
      </c>
      <c r="LH24" s="921">
        <v>19</v>
      </c>
      <c r="LI24" s="860">
        <f t="shared" si="12"/>
        <v>15074432.7223</v>
      </c>
      <c r="LJ24" s="860">
        <f t="shared" si="12"/>
        <v>16981249.233696222</v>
      </c>
      <c r="LK24" s="801">
        <f t="shared" si="13"/>
        <v>14848745.475344222</v>
      </c>
      <c r="LL24" s="860">
        <f t="shared" si="14"/>
        <v>11934667.449705429</v>
      </c>
      <c r="LM24" s="860">
        <f t="shared" si="14"/>
        <v>12196549.869905207</v>
      </c>
      <c r="LN24" s="801">
        <f t="shared" si="49"/>
        <v>12532516.437343759</v>
      </c>
      <c r="LO24" s="860">
        <f t="shared" si="50"/>
        <v>3139765.2725945711</v>
      </c>
      <c r="LP24" s="860">
        <f t="shared" si="50"/>
        <v>4784699.363791015</v>
      </c>
      <c r="LQ24" s="860">
        <f t="shared" si="50"/>
        <v>2316229.0380004626</v>
      </c>
      <c r="LR24" s="12"/>
      <c r="LS24" s="13"/>
      <c r="LT24" s="12"/>
      <c r="LU24" s="12"/>
      <c r="LV24" s="12"/>
      <c r="LW24" s="12"/>
      <c r="LX24" s="12"/>
      <c r="LY24" s="13"/>
      <c r="LZ24" s="12"/>
      <c r="MA24" s="293">
        <f t="shared" si="80"/>
        <v>18</v>
      </c>
      <c r="MB24" s="816" t="s">
        <v>233</v>
      </c>
      <c r="MC24" s="932">
        <f>1-(MC8+MC21)/(MC8+MC21+MC23)</f>
        <v>5.3900000000000059E-2</v>
      </c>
      <c r="MD24" s="930"/>
      <c r="ME24" s="839"/>
      <c r="MF24" s="933">
        <f>1-(MF8+MF21)/(MF8+MF21+MF23)</f>
        <v>5.3900000000000059E-2</v>
      </c>
      <c r="MG24" s="930"/>
      <c r="MH24" s="12"/>
      <c r="MI24" s="13"/>
      <c r="MJ24" s="12"/>
      <c r="MK24" s="293">
        <f t="shared" si="81"/>
        <v>18</v>
      </c>
      <c r="ML24" s="941" t="str">
        <f>MB24</f>
        <v>Pre-Tax Return</v>
      </c>
      <c r="MM24" s="982">
        <v>5.3900000000000059E-2</v>
      </c>
      <c r="MN24" s="942">
        <f>MC24</f>
        <v>5.3900000000000059E-2</v>
      </c>
      <c r="MO24" s="942">
        <f t="shared" si="70"/>
        <v>0</v>
      </c>
      <c r="MP24" s="943">
        <f t="shared" si="71"/>
        <v>0</v>
      </c>
      <c r="MQ24" s="12"/>
      <c r="MR24" s="13"/>
      <c r="MS24" s="12"/>
    </row>
    <row r="25" spans="1:357" ht="17.25" thickBot="1" x14ac:dyDescent="0.35">
      <c r="A25" s="5"/>
      <c r="B25" s="368">
        <f>B24+1</f>
        <v>19</v>
      </c>
      <c r="C25" s="369" t="s">
        <v>234</v>
      </c>
      <c r="D25" s="369"/>
      <c r="E25" s="370"/>
      <c r="F25" s="1051">
        <f>HB26</f>
        <v>202</v>
      </c>
      <c r="G25" s="1052"/>
      <c r="H25" s="1051">
        <f>HB26</f>
        <v>202</v>
      </c>
      <c r="I25" s="1053"/>
      <c r="J25" s="1052"/>
      <c r="K25" s="1051">
        <f>JF26</f>
        <v>221</v>
      </c>
      <c r="L25" s="1053"/>
      <c r="M25" s="1052"/>
      <c r="N25" s="1051">
        <f>JG26</f>
        <v>219</v>
      </c>
      <c r="O25" s="1053"/>
      <c r="P25" s="1052"/>
      <c r="Q25" s="371">
        <f>N25-F25</f>
        <v>17</v>
      </c>
      <c r="R25" s="372">
        <f>N25/F25-1</f>
        <v>8.4158415841584233E-2</v>
      </c>
      <c r="AL25" s="299"/>
      <c r="DU25" s="12"/>
      <c r="DV25" s="12"/>
      <c r="DW25" s="12"/>
      <c r="DX25" s="12"/>
      <c r="DY25" s="12"/>
      <c r="FJ25" s="222">
        <f t="shared" si="78"/>
        <v>20</v>
      </c>
      <c r="FK25" s="307" t="s">
        <v>235</v>
      </c>
      <c r="FL25" s="308"/>
      <c r="FM25" s="329"/>
      <c r="FN25" s="329"/>
      <c r="FO25" s="329"/>
      <c r="FP25" s="330"/>
      <c r="FQ25" s="329"/>
      <c r="FR25" s="329"/>
      <c r="FS25" s="329"/>
      <c r="FT25" s="329"/>
      <c r="FU25" s="329"/>
      <c r="FV25" s="16"/>
      <c r="FW25" s="266"/>
      <c r="GZ25" s="297">
        <v>20</v>
      </c>
      <c r="HA25" s="668">
        <v>20</v>
      </c>
      <c r="HB25" s="668">
        <v>10</v>
      </c>
      <c r="HC25" s="668">
        <v>10</v>
      </c>
      <c r="HD25" s="889">
        <v>345437324</v>
      </c>
      <c r="HE25" s="889">
        <v>354093613</v>
      </c>
      <c r="HF25" s="728">
        <f t="shared" si="22"/>
        <v>1</v>
      </c>
      <c r="HG25" s="728">
        <f t="shared" si="23"/>
        <v>1.0250589279113336</v>
      </c>
      <c r="HH25" s="726">
        <v>0</v>
      </c>
      <c r="HI25" s="726">
        <v>0</v>
      </c>
      <c r="HJ25" s="726">
        <v>1</v>
      </c>
      <c r="HN25" s="373">
        <v>20</v>
      </c>
      <c r="HO25" s="893">
        <v>20</v>
      </c>
      <c r="HP25" s="894">
        <f t="shared" si="2"/>
        <v>1.0250589279113336</v>
      </c>
      <c r="HQ25" s="727">
        <v>74981.02</v>
      </c>
      <c r="HR25" s="895">
        <f t="shared" si="24"/>
        <v>76859.963974898259</v>
      </c>
      <c r="HS25" s="727">
        <v>38245984</v>
      </c>
      <c r="HT25" s="976">
        <v>39214260</v>
      </c>
      <c r="HU25" s="727">
        <v>16742232.458199998</v>
      </c>
      <c r="HV25" s="976">
        <v>20224278</v>
      </c>
      <c r="HW25" s="727">
        <v>225000</v>
      </c>
      <c r="HX25" s="968">
        <v>225000</v>
      </c>
      <c r="HY25" s="727">
        <f t="shared" si="25"/>
        <v>17042213.4782</v>
      </c>
      <c r="HZ25" s="727">
        <f t="shared" si="25"/>
        <v>20526137.963974897</v>
      </c>
      <c r="IA25" s="206"/>
      <c r="IB25" s="207"/>
      <c r="IC25" s="206"/>
      <c r="ID25" s="374">
        <v>20</v>
      </c>
      <c r="IE25" s="893">
        <v>20</v>
      </c>
      <c r="IF25" s="901">
        <f t="shared" si="3"/>
        <v>1</v>
      </c>
      <c r="IG25" s="902">
        <f t="shared" si="3"/>
        <v>1.0250589279113336</v>
      </c>
      <c r="IH25" s="968">
        <v>5724380.0135961343</v>
      </c>
      <c r="II25" s="895">
        <f t="shared" si="64"/>
        <v>5867826.8396939188</v>
      </c>
      <c r="IJ25" s="968">
        <v>219612.97514999998</v>
      </c>
      <c r="IK25" s="895">
        <f t="shared" si="26"/>
        <v>225116.24086267731</v>
      </c>
      <c r="IL25" s="968">
        <v>2632646.793253866</v>
      </c>
      <c r="IM25" s="895">
        <f t="shared" si="82"/>
        <v>2632646.793253866</v>
      </c>
      <c r="IN25" s="968">
        <v>2694508.4728766764</v>
      </c>
      <c r="IO25" s="996">
        <v>2694508.4728766764</v>
      </c>
      <c r="IP25" s="968">
        <v>401825.30300000007</v>
      </c>
      <c r="IQ25" s="895">
        <f>IP25*$HG25</f>
        <v>411894.61430082686</v>
      </c>
      <c r="IR25" s="968">
        <v>156788.33400000003</v>
      </c>
      <c r="IS25" s="895">
        <f t="shared" si="28"/>
        <v>160717.28155904412</v>
      </c>
      <c r="IT25" s="968">
        <v>1244707.0171640001</v>
      </c>
      <c r="IU25" s="895">
        <f t="shared" si="29"/>
        <v>1275898.0405778438</v>
      </c>
      <c r="IV25" s="968">
        <v>1610495.5785100001</v>
      </c>
      <c r="IW25" s="895">
        <f t="shared" si="30"/>
        <v>1650852.8711134037</v>
      </c>
      <c r="IX25" s="727">
        <f t="shared" si="31"/>
        <v>14684964.487550676</v>
      </c>
      <c r="IY25" s="727">
        <f t="shared" si="31"/>
        <v>14919461.154238256</v>
      </c>
      <c r="IZ25" s="903">
        <f t="shared" si="4"/>
        <v>4.2134228369259672</v>
      </c>
      <c r="JD25" s="297">
        <v>20</v>
      </c>
      <c r="JE25" s="668">
        <v>20</v>
      </c>
      <c r="JF25" s="665">
        <f t="shared" si="5"/>
        <v>10</v>
      </c>
      <c r="JG25" s="907">
        <f t="shared" si="111"/>
        <v>10</v>
      </c>
      <c r="JH25" s="908">
        <f t="shared" si="6"/>
        <v>354093613</v>
      </c>
      <c r="JI25" s="908">
        <f t="shared" si="83"/>
        <v>352651085.17518294</v>
      </c>
      <c r="JJ25" s="909">
        <f t="shared" si="33"/>
        <v>1</v>
      </c>
      <c r="JK25" s="909">
        <f t="shared" si="34"/>
        <v>0.99592613994758195</v>
      </c>
      <c r="JL25" s="909">
        <f t="shared" si="35"/>
        <v>1.0275341294486815</v>
      </c>
      <c r="JM25" s="668" t="s">
        <v>238</v>
      </c>
      <c r="JN25" s="209"/>
      <c r="JO25" s="210"/>
      <c r="JP25" s="209"/>
      <c r="JQ25" s="297">
        <v>20</v>
      </c>
      <c r="JR25" s="668">
        <v>20</v>
      </c>
      <c r="JS25" s="915" t="str">
        <f t="shared" si="7"/>
        <v>Q3</v>
      </c>
      <c r="JT25" s="916">
        <f t="shared" si="8"/>
        <v>1.0275341294486815</v>
      </c>
      <c r="JU25" s="673">
        <f t="shared" si="36"/>
        <v>76859.963974898259</v>
      </c>
      <c r="JV25" s="673">
        <f t="shared" si="37"/>
        <v>78976.236172404111</v>
      </c>
      <c r="JW25" s="673">
        <f t="shared" si="9"/>
        <v>39214260</v>
      </c>
      <c r="JX25" s="673">
        <f t="shared" si="38"/>
        <v>38908384.305782586</v>
      </c>
      <c r="JY25" s="673">
        <f t="shared" si="10"/>
        <v>20224278</v>
      </c>
      <c r="JZ25" s="673">
        <f t="shared" si="11"/>
        <v>17470556.592521198</v>
      </c>
      <c r="KA25" s="673">
        <f t="shared" si="39"/>
        <v>225000</v>
      </c>
      <c r="KB25" s="673">
        <f t="shared" si="40"/>
        <v>766521.41440685734</v>
      </c>
      <c r="KC25" s="673">
        <f t="shared" si="41"/>
        <v>20526137.963974897</v>
      </c>
      <c r="KD25" s="673">
        <f t="shared" si="41"/>
        <v>18316054.243100461</v>
      </c>
      <c r="KE25" s="211"/>
      <c r="KF25" s="210"/>
      <c r="KG25" s="209"/>
      <c r="KH25" s="245">
        <f t="shared" si="65"/>
        <v>20</v>
      </c>
      <c r="KI25" s="917">
        <v>19</v>
      </c>
      <c r="KJ25" s="918">
        <f t="shared" si="66"/>
        <v>1</v>
      </c>
      <c r="KK25" s="918">
        <f t="shared" si="66"/>
        <v>0.99592613994758206</v>
      </c>
      <c r="KL25" s="898">
        <v>1.6626666699999999</v>
      </c>
      <c r="KM25" s="801">
        <f t="shared" si="67"/>
        <v>5083562.8707719566</v>
      </c>
      <c r="KN25" s="898">
        <v>1.6626666699999999</v>
      </c>
      <c r="KO25" s="801">
        <f t="shared" si="42"/>
        <v>77112.939160657144</v>
      </c>
      <c r="KP25" s="898">
        <v>1.6626666699999999</v>
      </c>
      <c r="KQ25" s="801">
        <f t="shared" si="43"/>
        <v>1849720.7390984457</v>
      </c>
      <c r="KR25" s="898">
        <v>1.6626666699999999</v>
      </c>
      <c r="KS25" s="801">
        <f t="shared" si="68"/>
        <v>2672487.7015377465</v>
      </c>
      <c r="KT25" s="898">
        <v>1.6626666699999999</v>
      </c>
      <c r="KU25" s="801">
        <f t="shared" si="44"/>
        <v>143238.04597315766</v>
      </c>
      <c r="KV25" s="898">
        <v>1.6626666699999999</v>
      </c>
      <c r="KW25" s="801">
        <f t="shared" si="45"/>
        <v>129931.85903001539</v>
      </c>
      <c r="KX25" s="898">
        <v>1.6626666699999999</v>
      </c>
      <c r="KY25" s="801">
        <f t="shared" si="46"/>
        <v>1112726.4470968016</v>
      </c>
      <c r="KZ25" s="898">
        <v>1.6626666699999999</v>
      </c>
      <c r="LA25" s="919">
        <f t="shared" si="47"/>
        <v>1463735.8346749784</v>
      </c>
      <c r="LB25" s="646">
        <f t="shared" si="48"/>
        <v>12196549.869905207</v>
      </c>
      <c r="LC25" s="646">
        <f t="shared" si="79"/>
        <v>12532516.437343759</v>
      </c>
      <c r="LD25" s="16"/>
      <c r="LE25" s="220"/>
      <c r="LG25" s="222">
        <v>20</v>
      </c>
      <c r="LH25" s="922">
        <v>20</v>
      </c>
      <c r="LI25" s="650">
        <f t="shared" si="12"/>
        <v>17042213.4782</v>
      </c>
      <c r="LJ25" s="650">
        <f t="shared" si="12"/>
        <v>20526137.963974897</v>
      </c>
      <c r="LK25" s="794">
        <f t="shared" si="13"/>
        <v>18316054.243100461</v>
      </c>
      <c r="LL25" s="650">
        <f t="shared" si="14"/>
        <v>14684964.487550676</v>
      </c>
      <c r="LM25" s="650">
        <f t="shared" si="14"/>
        <v>14919461.154238256</v>
      </c>
      <c r="LN25" s="794">
        <f t="shared" si="49"/>
        <v>15330255.528963625</v>
      </c>
      <c r="LO25" s="650">
        <f t="shared" si="50"/>
        <v>2357248.9906493239</v>
      </c>
      <c r="LP25" s="650">
        <f t="shared" si="50"/>
        <v>5606676.8097366411</v>
      </c>
      <c r="LQ25" s="650">
        <f t="shared" si="50"/>
        <v>2985798.7141368352</v>
      </c>
      <c r="MA25" s="312">
        <f>MA24+1</f>
        <v>19</v>
      </c>
      <c r="MB25" s="375" t="s">
        <v>236</v>
      </c>
      <c r="MC25" s="376">
        <f>MC21+MC23-MC10</f>
        <v>129260677.11409155</v>
      </c>
      <c r="MD25" s="377">
        <f>MC25/$MC$34*100</f>
        <v>5.9154606275175201</v>
      </c>
      <c r="ME25" s="375"/>
      <c r="MF25" s="378">
        <f>MF21+MF23-MF10</f>
        <v>129260677.11409155</v>
      </c>
      <c r="MG25" s="377">
        <f>MF25/$MG$34*100</f>
        <v>5.9154606275175201</v>
      </c>
      <c r="MK25" s="312">
        <f>MK24+1</f>
        <v>19</v>
      </c>
      <c r="ML25" s="376" t="str">
        <f>MB25</f>
        <v>Revenue Requirement</v>
      </c>
      <c r="MM25" s="983">
        <v>112402506.16203304</v>
      </c>
      <c r="MN25" s="376">
        <f>MC25</f>
        <v>129260677.11409155</v>
      </c>
      <c r="MO25" s="376">
        <f t="shared" si="70"/>
        <v>16858170.952058509</v>
      </c>
      <c r="MP25" s="944">
        <f t="shared" si="71"/>
        <v>0.14998038324658644</v>
      </c>
    </row>
    <row r="26" spans="1:357" s="29" customFormat="1" ht="17.25" thickBot="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2"/>
      <c r="V26" s="12"/>
      <c r="W26" s="12"/>
      <c r="X26" s="12"/>
      <c r="Y26" s="12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2"/>
      <c r="AK26" s="12"/>
      <c r="AL26" s="299"/>
      <c r="AM26" s="12"/>
      <c r="AN26" s="379"/>
      <c r="AO26" s="380"/>
      <c r="AP26" s="12"/>
      <c r="AQ26" s="15"/>
      <c r="AR26" s="12"/>
      <c r="AS26" s="381"/>
      <c r="AT26" s="381"/>
      <c r="AU26" s="15"/>
      <c r="AV26" s="381"/>
      <c r="AW26" s="381"/>
      <c r="AX26" s="381"/>
      <c r="AY26" s="15"/>
      <c r="AZ26" s="381"/>
      <c r="BA26" s="381"/>
      <c r="BB26" s="381"/>
      <c r="BC26" s="15"/>
      <c r="BD26" s="381"/>
      <c r="BE26" s="381"/>
      <c r="BF26" s="381"/>
      <c r="BG26" s="15"/>
      <c r="BH26" s="381"/>
      <c r="BI26" s="381"/>
      <c r="BJ26" s="381"/>
      <c r="BK26" s="15"/>
      <c r="BL26" s="381"/>
      <c r="BM26" s="381"/>
      <c r="BN26" s="381"/>
      <c r="BO26" s="15"/>
      <c r="BP26" s="381"/>
      <c r="BQ26" s="381"/>
      <c r="BR26" s="381"/>
      <c r="BS26" s="15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12"/>
      <c r="CL26" s="13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3"/>
      <c r="CZ26" s="12"/>
      <c r="DA26" s="12"/>
      <c r="DB26" s="12"/>
      <c r="DC26" s="12"/>
      <c r="DD26" s="16"/>
      <c r="DE26" s="12"/>
      <c r="DF26" s="12"/>
      <c r="DG26" s="12"/>
      <c r="DH26" s="12"/>
      <c r="DI26" s="13"/>
      <c r="DJ26" s="12"/>
      <c r="DK26" s="12"/>
      <c r="DL26" s="12"/>
      <c r="DM26" s="12"/>
      <c r="DN26" s="16"/>
      <c r="DO26" s="12"/>
      <c r="DP26" s="12"/>
      <c r="DQ26" s="12"/>
      <c r="DR26" s="1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3"/>
      <c r="EF26" s="38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3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3"/>
      <c r="FI26" s="12"/>
      <c r="FJ26" s="383">
        <f t="shared" si="78"/>
        <v>21</v>
      </c>
      <c r="FK26" s="384"/>
      <c r="FL26" s="882" t="s">
        <v>237</v>
      </c>
      <c r="FM26" s="880">
        <v>499417.62</v>
      </c>
      <c r="FN26" s="880">
        <v>41431.71</v>
      </c>
      <c r="FO26" s="880">
        <v>265382.31</v>
      </c>
      <c r="FP26" s="881">
        <f t="shared" ref="FP26:FP31" si="113">FM26+FO26+FN26</f>
        <v>806231.6399999999</v>
      </c>
      <c r="FQ26" s="880">
        <v>499417.61999999994</v>
      </c>
      <c r="FR26" s="880">
        <v>41431.71</v>
      </c>
      <c r="FS26" s="880">
        <v>265382.31</v>
      </c>
      <c r="FT26" s="880">
        <v>806231.6399999999</v>
      </c>
      <c r="FU26" s="955">
        <v>806231.6399999999</v>
      </c>
      <c r="FV26" s="16"/>
      <c r="FW26" s="266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3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3"/>
      <c r="GX26" s="12"/>
      <c r="GY26" s="12"/>
      <c r="GZ26" s="302">
        <v>21</v>
      </c>
      <c r="HA26" s="385" t="s">
        <v>71</v>
      </c>
      <c r="HB26" s="385">
        <f>SUM(HB6:HB25)</f>
        <v>202</v>
      </c>
      <c r="HC26" s="385">
        <f>SUM(HC6:HC25)</f>
        <v>221</v>
      </c>
      <c r="HD26" s="386">
        <f>SUM(HD6:HD25)</f>
        <v>2091530523.2727273</v>
      </c>
      <c r="HE26" s="386">
        <f>SUM(HE6:HE25)</f>
        <v>2194071252</v>
      </c>
      <c r="HF26" s="387">
        <f t="shared" si="22"/>
        <v>1.0940594059405941</v>
      </c>
      <c r="HG26" s="387">
        <f t="shared" si="23"/>
        <v>1.0490266470349292</v>
      </c>
      <c r="HH26" s="386"/>
      <c r="HI26" s="386"/>
      <c r="HJ26" s="386"/>
      <c r="HK26" s="190"/>
      <c r="HL26" s="13"/>
      <c r="HM26" s="317"/>
      <c r="HN26" s="388">
        <v>21</v>
      </c>
      <c r="HO26" s="389" t="s">
        <v>71</v>
      </c>
      <c r="HP26" s="390">
        <f t="shared" si="2"/>
        <v>1.0490266470349292</v>
      </c>
      <c r="HQ26" s="391">
        <f t="shared" ref="HQ26:HW26" si="114">SUM(HQ6:HQ25)</f>
        <v>314630.85259999998</v>
      </c>
      <c r="HR26" s="392">
        <f t="shared" si="114"/>
        <v>323903.59259512648</v>
      </c>
      <c r="HS26" s="391">
        <f t="shared" si="114"/>
        <v>232634365.45454544</v>
      </c>
      <c r="HT26" s="392">
        <f t="shared" si="114"/>
        <v>242214042</v>
      </c>
      <c r="HU26" s="391">
        <f t="shared" si="114"/>
        <v>106040187.41487272</v>
      </c>
      <c r="HV26" s="392">
        <f t="shared" si="114"/>
        <v>123895104</v>
      </c>
      <c r="HW26" s="391">
        <f t="shared" si="114"/>
        <v>4505138.589094515</v>
      </c>
      <c r="HX26" s="392">
        <f>SUM(HX6:HX25)</f>
        <v>4786954.6233764458</v>
      </c>
      <c r="HY26" s="391">
        <f>SUM(HQ26,HU26,HW26)</f>
        <v>110859956.85656723</v>
      </c>
      <c r="HZ26" s="391">
        <f>SUM(HR26,HV26,HX26)</f>
        <v>129005962.21597157</v>
      </c>
      <c r="IA26" s="393"/>
      <c r="IB26" s="394"/>
      <c r="IC26" s="393"/>
      <c r="ID26" s="208">
        <v>21</v>
      </c>
      <c r="IE26" s="395" t="s">
        <v>71</v>
      </c>
      <c r="IF26" s="396">
        <f>HF26</f>
        <v>1.0940594059405941</v>
      </c>
      <c r="IG26" s="397">
        <f t="shared" ref="IG26" si="115">HG26</f>
        <v>1.0490266470349292</v>
      </c>
      <c r="IH26" s="398">
        <f t="shared" ref="IH26:IW26" si="116">SUM(IH6:IH25)</f>
        <v>36813199.8476827</v>
      </c>
      <c r="II26" s="399">
        <f t="shared" si="116"/>
        <v>38759425.026482746</v>
      </c>
      <c r="IJ26" s="398">
        <f t="shared" si="116"/>
        <v>1805841.8473045456</v>
      </c>
      <c r="IK26" s="399">
        <f t="shared" si="116"/>
        <v>1927835.2228029165</v>
      </c>
      <c r="IL26" s="398">
        <f t="shared" si="116"/>
        <v>17962433.615376391</v>
      </c>
      <c r="IM26" s="399">
        <f t="shared" si="116"/>
        <v>18604918.663317382</v>
      </c>
      <c r="IN26" s="398">
        <f t="shared" si="116"/>
        <v>23103829.087177191</v>
      </c>
      <c r="IO26" s="399">
        <f t="shared" si="116"/>
        <v>24327750.680698965</v>
      </c>
      <c r="IP26" s="398">
        <f t="shared" si="116"/>
        <v>2229849.6176878791</v>
      </c>
      <c r="IQ26" s="399">
        <f t="shared" si="116"/>
        <v>2404636.0465707122</v>
      </c>
      <c r="IR26" s="398">
        <f t="shared" si="116"/>
        <v>1392570.6222590909</v>
      </c>
      <c r="IS26" s="399">
        <f t="shared" si="116"/>
        <v>1494191.7007989204</v>
      </c>
      <c r="IT26" s="398">
        <f t="shared" si="116"/>
        <v>5942658.7207094552</v>
      </c>
      <c r="IU26" s="399">
        <f t="shared" si="116"/>
        <v>6168270.1152246939</v>
      </c>
      <c r="IV26" s="398">
        <f t="shared" si="116"/>
        <v>12035251.726130454</v>
      </c>
      <c r="IW26" s="399">
        <f t="shared" si="116"/>
        <v>12737461.434445117</v>
      </c>
      <c r="IX26" s="398">
        <f t="shared" si="31"/>
        <v>101285635.08432771</v>
      </c>
      <c r="IY26" s="398">
        <f>II26+IK26+IM26+IO26+IU26+IW26+IQ26+IS26</f>
        <v>106424488.89034145</v>
      </c>
      <c r="IZ26" s="400">
        <f t="shared" si="4"/>
        <v>4.8505484401808046</v>
      </c>
      <c r="JA26" s="190"/>
      <c r="JB26" s="401"/>
      <c r="JC26" s="12"/>
      <c r="JD26" s="302">
        <v>21</v>
      </c>
      <c r="JE26" s="385" t="s">
        <v>71</v>
      </c>
      <c r="JF26" s="344">
        <f>SUM(JF6:JF25)</f>
        <v>221</v>
      </c>
      <c r="JG26" s="344">
        <f>SUM(JG6:JG25)</f>
        <v>219</v>
      </c>
      <c r="JH26" s="402">
        <f>SUM(JH6:JH25)</f>
        <v>2194071252</v>
      </c>
      <c r="JI26" s="1003">
        <f>'ABDA 8 month Phase II'!L28</f>
        <v>2185132912.7743182</v>
      </c>
      <c r="JJ26" s="403">
        <f t="shared" si="33"/>
        <v>0.99095022624434392</v>
      </c>
      <c r="JK26" s="403">
        <f t="shared" si="34"/>
        <v>0.99592613994758195</v>
      </c>
      <c r="JL26" s="403">
        <f>LC27/LB28</f>
        <v>1.0299831759776885</v>
      </c>
      <c r="JM26" s="404" t="s">
        <v>238</v>
      </c>
      <c r="JN26" s="405"/>
      <c r="JO26" s="406"/>
      <c r="JP26" s="405"/>
      <c r="JQ26" s="192">
        <v>21</v>
      </c>
      <c r="JR26" s="407" t="s">
        <v>71</v>
      </c>
      <c r="JS26" s="408" t="str">
        <f>JM26</f>
        <v>Q3</v>
      </c>
      <c r="JT26" s="409">
        <f t="shared" si="8"/>
        <v>1.0299831759776885</v>
      </c>
      <c r="JU26" s="320">
        <f>SUM(JU6:JU25)</f>
        <v>323903.59259512648</v>
      </c>
      <c r="JV26" s="320">
        <f>SUM(JV6:JV25)</f>
        <v>334591.19444007974</v>
      </c>
      <c r="JW26" s="320">
        <f t="shared" si="9"/>
        <v>242214042</v>
      </c>
      <c r="JX26" s="320">
        <f>SUMPRODUCT('ABDA 8 month Phase II'!HS4:HS27,'ABDA 8 month Phase II'!HX4:HX27)/100</f>
        <v>241088131.31030849</v>
      </c>
      <c r="JY26" s="320">
        <f>SUM(JY6:JY25)</f>
        <v>123895104</v>
      </c>
      <c r="JZ26" s="320">
        <f>SUMPRODUCT('ABDA 8 month Phase II'!JI4:JI27,'ABDA 8 month Phase II'!JK4:JK27)/100</f>
        <v>108252859.04292728</v>
      </c>
      <c r="KA26" s="320">
        <f>SUM(KA6:KA25)</f>
        <v>4786954.6233764458</v>
      </c>
      <c r="KB26" s="320">
        <f>'ABDA 8 month Phase II'!II4*'ABDA 8 month Phase II'!IH4</f>
        <v>4749598.8</v>
      </c>
      <c r="KC26" s="320">
        <f>SUM(JU26,JY26,KA26)</f>
        <v>129005962.21597157</v>
      </c>
      <c r="KD26" s="320">
        <f>SUM(JV26,JZ26,KB26)</f>
        <v>113337049.03736736</v>
      </c>
      <c r="KE26" s="405"/>
      <c r="KF26" s="406"/>
      <c r="KG26" s="405"/>
      <c r="KH26" s="243">
        <f t="shared" si="65"/>
        <v>21</v>
      </c>
      <c r="KI26" s="891">
        <v>20</v>
      </c>
      <c r="KJ26" s="920">
        <f t="shared" si="66"/>
        <v>1</v>
      </c>
      <c r="KK26" s="920">
        <f t="shared" si="66"/>
        <v>0.99592613994758195</v>
      </c>
      <c r="KL26" s="683">
        <v>1.6626666699999999</v>
      </c>
      <c r="KM26" s="794">
        <f t="shared" si="67"/>
        <v>6020598.8613882056</v>
      </c>
      <c r="KN26" s="683">
        <v>1.6626666699999999</v>
      </c>
      <c r="KO26" s="895">
        <f t="shared" si="42"/>
        <v>230977.26303875149</v>
      </c>
      <c r="KP26" s="683">
        <v>1.6626666699999999</v>
      </c>
      <c r="KQ26" s="794">
        <f t="shared" si="43"/>
        <v>2712238.4456101679</v>
      </c>
      <c r="KR26" s="683">
        <v>1.6626666699999999</v>
      </c>
      <c r="KS26" s="895">
        <f t="shared" si="68"/>
        <v>2775970.3621790558</v>
      </c>
      <c r="KT26" s="683">
        <v>1.6626666699999999</v>
      </c>
      <c r="KU26" s="895">
        <f t="shared" si="44"/>
        <v>422618.51169433078</v>
      </c>
      <c r="KV26" s="683">
        <v>1.6626666699999999</v>
      </c>
      <c r="KW26" s="895">
        <f t="shared" si="45"/>
        <v>164901.64225948122</v>
      </c>
      <c r="KX26" s="683">
        <v>1.6626666699999999</v>
      </c>
      <c r="KY26" s="895">
        <f t="shared" si="46"/>
        <v>1309116.7309823181</v>
      </c>
      <c r="KZ26" s="683">
        <v>1.6626666699999999</v>
      </c>
      <c r="LA26" s="794">
        <f t="shared" si="47"/>
        <v>1693833.711811315</v>
      </c>
      <c r="LB26" s="650">
        <f t="shared" si="48"/>
        <v>14919461.154238256</v>
      </c>
      <c r="LC26" s="650">
        <f t="shared" si="79"/>
        <v>15330255.528963625</v>
      </c>
      <c r="LD26" s="16"/>
      <c r="LE26" s="13"/>
      <c r="LF26" s="12"/>
      <c r="LG26" s="192">
        <v>21</v>
      </c>
      <c r="LH26" s="410" t="s">
        <v>71</v>
      </c>
      <c r="LI26" s="320">
        <f>SUM(LI6:LI25)</f>
        <v>110859956.85656722</v>
      </c>
      <c r="LJ26" s="320">
        <f t="shared" ref="LJ26:LN26" si="117">SUM(LJ6:LJ25)</f>
        <v>129005962.21597156</v>
      </c>
      <c r="LK26" s="321">
        <f t="shared" si="117"/>
        <v>113337049.03736737</v>
      </c>
      <c r="LL26" s="320">
        <f t="shared" si="117"/>
        <v>101285635.0843277</v>
      </c>
      <c r="LM26" s="320">
        <f t="shared" si="117"/>
        <v>106424488.89034146</v>
      </c>
      <c r="LN26" s="321">
        <f t="shared" si="117"/>
        <v>109615433.06907614</v>
      </c>
      <c r="LO26" s="320">
        <f t="shared" si="50"/>
        <v>9574321.7722395211</v>
      </c>
      <c r="LP26" s="320">
        <f t="shared" si="50"/>
        <v>22581473.325630099</v>
      </c>
      <c r="LQ26" s="320">
        <f t="shared" si="50"/>
        <v>3721615.968291238</v>
      </c>
      <c r="LR26" s="12"/>
      <c r="LS26" s="13"/>
      <c r="LT26" s="12"/>
      <c r="LU26" s="12"/>
      <c r="LV26" s="12"/>
      <c r="LW26" s="12"/>
      <c r="LX26" s="12"/>
      <c r="LY26" s="13"/>
      <c r="LZ26" s="12"/>
      <c r="MA26" s="222">
        <f>MA25+1</f>
        <v>20</v>
      </c>
      <c r="MB26" s="650" t="s">
        <v>239</v>
      </c>
      <c r="MC26" s="650">
        <v>0</v>
      </c>
      <c r="MD26" s="747">
        <f>MC26/$MC$34*100</f>
        <v>0</v>
      </c>
      <c r="ME26" s="934"/>
      <c r="MF26" s="792">
        <f>MC26</f>
        <v>0</v>
      </c>
      <c r="MG26" s="747">
        <f>MF26/$MC$34*100</f>
        <v>0</v>
      </c>
      <c r="MH26" s="12"/>
      <c r="MI26" s="13"/>
      <c r="MJ26" s="12"/>
      <c r="MK26" s="222">
        <f>MK25+1</f>
        <v>20</v>
      </c>
      <c r="ML26" s="650" t="s">
        <v>239</v>
      </c>
      <c r="MM26" s="979">
        <v>0</v>
      </c>
      <c r="MN26" s="650">
        <f>MC26</f>
        <v>0</v>
      </c>
      <c r="MO26" s="650">
        <f t="shared" si="70"/>
        <v>0</v>
      </c>
      <c r="MP26" s="723">
        <f>IFERROR(MO26/MM26,0)</f>
        <v>0</v>
      </c>
      <c r="MQ26" s="12"/>
      <c r="MR26" s="13"/>
      <c r="MS26" s="12"/>
    </row>
    <row r="27" spans="1:357" ht="17.25" thickBot="1" x14ac:dyDescent="0.35">
      <c r="G27" s="411"/>
      <c r="H27" s="411"/>
      <c r="I27" s="411"/>
      <c r="J27" s="411"/>
      <c r="O27" s="411"/>
      <c r="AL27" s="299"/>
      <c r="AN27" s="287"/>
      <c r="AS27" s="19"/>
      <c r="AT27" s="235"/>
      <c r="AV27" s="19"/>
      <c r="AW27" s="235"/>
      <c r="AX27" s="236"/>
      <c r="AZ27" s="19"/>
      <c r="BA27" s="235"/>
      <c r="BB27" s="236"/>
      <c r="BD27" s="19"/>
      <c r="BE27" s="235"/>
      <c r="BF27" s="236"/>
      <c r="BH27" s="19"/>
      <c r="BI27" s="235"/>
      <c r="BJ27" s="236"/>
      <c r="BL27" s="19"/>
      <c r="BM27" s="235"/>
      <c r="BN27" s="236"/>
      <c r="BP27" s="19"/>
      <c r="BQ27" s="235"/>
      <c r="BR27" s="236"/>
      <c r="BT27" s="19"/>
      <c r="BU27" s="235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19"/>
      <c r="CH27" s="236"/>
      <c r="CI27" s="236"/>
      <c r="CJ27" s="236"/>
      <c r="DU27" s="12"/>
      <c r="DV27" s="12"/>
      <c r="DW27" s="12"/>
      <c r="DX27" s="12"/>
      <c r="DY27" s="12"/>
      <c r="ED27" s="382"/>
      <c r="FJ27" s="222">
        <f t="shared" si="78"/>
        <v>22</v>
      </c>
      <c r="FK27" s="242"/>
      <c r="FL27" s="877" t="s">
        <v>240</v>
      </c>
      <c r="FM27" s="650">
        <v>0</v>
      </c>
      <c r="FN27" s="650">
        <v>26629</v>
      </c>
      <c r="FO27" s="650">
        <v>20428.21</v>
      </c>
      <c r="FP27" s="794">
        <f t="shared" si="113"/>
        <v>47057.21</v>
      </c>
      <c r="FQ27" s="650">
        <v>0</v>
      </c>
      <c r="FR27" s="650">
        <v>26629</v>
      </c>
      <c r="FS27" s="650">
        <v>20428.210000000003</v>
      </c>
      <c r="FT27" s="650">
        <v>47057.210000000006</v>
      </c>
      <c r="FU27" s="955">
        <v>47057.210000000006</v>
      </c>
      <c r="FV27" s="16"/>
      <c r="FW27" s="266"/>
      <c r="GZ27" s="412"/>
      <c r="HM27" s="5"/>
      <c r="HN27" s="413">
        <v>22</v>
      </c>
      <c r="HO27" s="414" t="s">
        <v>241</v>
      </c>
      <c r="HP27" s="415"/>
      <c r="HQ27" s="416"/>
      <c r="HR27" s="417">
        <f>HR26/HQ26</f>
        <v>1.029471807734365</v>
      </c>
      <c r="HS27" s="416"/>
      <c r="HT27" s="417">
        <f>HT26/HS26</f>
        <v>1.0411791118080804</v>
      </c>
      <c r="HU27" s="416"/>
      <c r="HV27" s="417">
        <f>HV26/HU26</f>
        <v>1.1683787724296593</v>
      </c>
      <c r="HW27" s="416"/>
      <c r="HX27" s="417">
        <f>HX26/HW26</f>
        <v>1.0625543540356597</v>
      </c>
      <c r="HY27" s="416"/>
      <c r="HZ27" s="418">
        <f>HZ26/HY26</f>
        <v>1.1636840377169007</v>
      </c>
      <c r="IA27" s="419"/>
      <c r="IB27" s="420"/>
      <c r="IC27" s="419"/>
      <c r="ID27" s="421">
        <v>22</v>
      </c>
      <c r="IE27" s="416" t="s">
        <v>241</v>
      </c>
      <c r="IF27" s="422"/>
      <c r="IG27" s="422"/>
      <c r="IH27" s="423"/>
      <c r="II27" s="424">
        <f>II26/IH26</f>
        <v>1.0528675906156677</v>
      </c>
      <c r="IJ27" s="423"/>
      <c r="IK27" s="424">
        <f>IK26/IJ26</f>
        <v>1.0675548502104224</v>
      </c>
      <c r="IL27" s="423"/>
      <c r="IM27" s="424">
        <f>IM26/IL26</f>
        <v>1.0357682629034746</v>
      </c>
      <c r="IN27" s="423"/>
      <c r="IO27" s="424">
        <f>IO26/IN26</f>
        <v>1.0529748375865999</v>
      </c>
      <c r="IP27" s="425"/>
      <c r="IQ27" s="424">
        <f>IQ26/IP26</f>
        <v>1.078384850483356</v>
      </c>
      <c r="IR27" s="425"/>
      <c r="IS27" s="424">
        <f>IS26/IR26</f>
        <v>1.0729737342692001</v>
      </c>
      <c r="IT27" s="423"/>
      <c r="IU27" s="424">
        <f>IU26/IT26</f>
        <v>1.0379647233870271</v>
      </c>
      <c r="IV27" s="423"/>
      <c r="IW27" s="424">
        <f>IW26/IV26</f>
        <v>1.058346075702767</v>
      </c>
      <c r="IX27" s="425"/>
      <c r="IY27" s="426">
        <f>IY26/IX26</f>
        <v>1.0507362549658228</v>
      </c>
      <c r="IZ27" s="426"/>
      <c r="JA27" s="236"/>
      <c r="JB27" s="299"/>
      <c r="JH27" s="235"/>
      <c r="JO27" s="427"/>
      <c r="JP27" s="428"/>
      <c r="JQ27" s="429">
        <v>22</v>
      </c>
      <c r="JR27" s="430" t="s">
        <v>242</v>
      </c>
      <c r="JS27" s="430"/>
      <c r="JT27" s="430"/>
      <c r="JU27" s="425"/>
      <c r="JV27" s="431">
        <f>JV26/JU26</f>
        <v>1.0329962436023752</v>
      </c>
      <c r="JW27" s="423"/>
      <c r="JX27" s="431">
        <f>JX26/JW26</f>
        <v>0.99535158787494449</v>
      </c>
      <c r="JY27" s="423"/>
      <c r="JZ27" s="431">
        <f>JZ26/JY26</f>
        <v>0.8737460605620645</v>
      </c>
      <c r="KA27" s="432"/>
      <c r="KB27" s="432">
        <f>KB26/KA26</f>
        <v>0.99219632808006497</v>
      </c>
      <c r="KC27" s="423"/>
      <c r="KD27" s="432">
        <f>KD26/KC26</f>
        <v>0.87854117042766933</v>
      </c>
      <c r="KE27" s="428"/>
      <c r="KF27" s="427"/>
      <c r="KG27" s="428"/>
      <c r="KH27" s="433">
        <f t="shared" si="65"/>
        <v>22</v>
      </c>
      <c r="KI27" s="434" t="s">
        <v>71</v>
      </c>
      <c r="KJ27" s="435">
        <f t="shared" si="66"/>
        <v>0.99095022624434392</v>
      </c>
      <c r="KK27" s="435">
        <f t="shared" si="66"/>
        <v>0.99592613994758195</v>
      </c>
      <c r="KL27" s="436"/>
      <c r="KM27" s="437">
        <f>SUM(KM7:KM26)</f>
        <v>39907140.559386715</v>
      </c>
      <c r="KN27" s="438"/>
      <c r="KO27" s="439">
        <f>SUM(KO7:KO26)</f>
        <v>1985779.5732121689</v>
      </c>
      <c r="KP27" s="440"/>
      <c r="KQ27" s="437">
        <f>SUM(KQ7:KQ26)</f>
        <v>19173425.776259005</v>
      </c>
      <c r="KR27" s="441"/>
      <c r="KS27" s="439">
        <f>SUM(KS7:KS26)</f>
        <v>25073716.728897151</v>
      </c>
      <c r="KT27" s="442"/>
      <c r="KU27" s="439">
        <f>SUM(KU7:KU26)</f>
        <v>2476439.0258324416</v>
      </c>
      <c r="KV27" s="442"/>
      <c r="KW27" s="439">
        <f>SUM(KW7:KW26)</f>
        <v>1538565.3835103088</v>
      </c>
      <c r="KX27" s="442"/>
      <c r="KY27" s="439">
        <f>SUM(KY7:KY26)</f>
        <v>6344695.8707459979</v>
      </c>
      <c r="KZ27" s="442"/>
      <c r="LA27" s="437">
        <f>SUM(LA7:LA26)</f>
        <v>13115670.151232321</v>
      </c>
      <c r="LB27" s="439"/>
      <c r="LC27" s="439">
        <f>KM27+KO27+KQ27+KS27+KY27+LA27+KU27+KW27</f>
        <v>109615433.06907611</v>
      </c>
      <c r="LD27" s="16"/>
      <c r="LE27" s="443"/>
      <c r="LG27" s="5"/>
      <c r="LI27" s="953" t="s">
        <v>243</v>
      </c>
      <c r="LJ27" s="444"/>
      <c r="LK27" s="204"/>
      <c r="LL27" s="204"/>
      <c r="LM27" s="204"/>
      <c r="LN27" s="204"/>
      <c r="LO27" s="204"/>
      <c r="LP27" s="204"/>
      <c r="MA27" s="312">
        <f>MA26+1</f>
        <v>21</v>
      </c>
      <c r="MB27" s="935" t="s">
        <v>244</v>
      </c>
      <c r="MC27" s="935">
        <v>0</v>
      </c>
      <c r="MD27" s="936">
        <f>MC27/$MC$34*100</f>
        <v>0</v>
      </c>
      <c r="ME27" s="803"/>
      <c r="MF27" s="937">
        <f>MC27</f>
        <v>0</v>
      </c>
      <c r="MG27" s="936">
        <f>MF27/$MC$34*100</f>
        <v>0</v>
      </c>
      <c r="MK27" s="312">
        <f>MK26+1</f>
        <v>21</v>
      </c>
      <c r="ML27" s="935" t="s">
        <v>244</v>
      </c>
      <c r="MM27" s="980">
        <v>0</v>
      </c>
      <c r="MN27" s="935">
        <v>0</v>
      </c>
      <c r="MO27" s="935">
        <f t="shared" si="70"/>
        <v>0</v>
      </c>
      <c r="MP27" s="944">
        <f>IFERROR(MO27/MM27,0)</f>
        <v>0</v>
      </c>
    </row>
    <row r="28" spans="1:357" s="29" customFormat="1" ht="17.25" thickBot="1" x14ac:dyDescent="0.35">
      <c r="A28" s="12"/>
      <c r="B28" s="462"/>
      <c r="C28" s="462"/>
      <c r="D28" s="462"/>
      <c r="E28" s="462"/>
      <c r="F28" s="462"/>
      <c r="G28" s="462"/>
      <c r="H28" s="462"/>
      <c r="I28" s="462"/>
      <c r="J28" s="462"/>
      <c r="K28" s="12"/>
      <c r="L28" s="12"/>
      <c r="M28" s="12"/>
      <c r="N28" s="462"/>
      <c r="O28" s="411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299"/>
      <c r="AM28" s="12"/>
      <c r="AN28" s="287"/>
      <c r="AO28" s="12"/>
      <c r="AP28" s="12"/>
      <c r="AQ28" s="12"/>
      <c r="AR28" s="12"/>
      <c r="AS28" s="19"/>
      <c r="AT28" s="235"/>
      <c r="AU28" s="12"/>
      <c r="AV28" s="19"/>
      <c r="AW28" s="235"/>
      <c r="AX28" s="236"/>
      <c r="AY28" s="12"/>
      <c r="AZ28" s="19"/>
      <c r="BA28" s="235"/>
      <c r="BB28" s="236"/>
      <c r="BC28" s="12"/>
      <c r="BD28" s="19"/>
      <c r="BE28" s="235"/>
      <c r="BF28" s="236"/>
      <c r="BG28" s="12"/>
      <c r="BH28" s="19"/>
      <c r="BI28" s="235"/>
      <c r="BJ28" s="236"/>
      <c r="BK28" s="12"/>
      <c r="BL28" s="19"/>
      <c r="BM28" s="235"/>
      <c r="BN28" s="236"/>
      <c r="BO28" s="12"/>
      <c r="BP28" s="19"/>
      <c r="BQ28" s="235"/>
      <c r="BR28" s="236"/>
      <c r="BS28" s="12"/>
      <c r="BT28" s="19"/>
      <c r="BU28" s="235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19"/>
      <c r="CG28" s="12"/>
      <c r="CH28" s="236"/>
      <c r="CI28" s="236"/>
      <c r="CJ28" s="236"/>
      <c r="CK28" s="12"/>
      <c r="CL28" s="13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3"/>
      <c r="CZ28" s="12"/>
      <c r="DA28" s="12"/>
      <c r="DB28" s="12"/>
      <c r="DC28" s="12"/>
      <c r="DD28" s="16"/>
      <c r="DE28" s="12"/>
      <c r="DF28" s="12"/>
      <c r="DG28" s="12"/>
      <c r="DH28" s="12"/>
      <c r="DI28" s="13"/>
      <c r="DJ28" s="12"/>
      <c r="DK28" s="12"/>
      <c r="DL28" s="12"/>
      <c r="DM28" s="12"/>
      <c r="DN28" s="16"/>
      <c r="DO28" s="12"/>
      <c r="DP28" s="12"/>
      <c r="DQ28" s="12"/>
      <c r="DR28" s="13"/>
      <c r="DS28" s="12"/>
      <c r="DT28" s="12"/>
      <c r="DU28" s="17"/>
      <c r="DV28" s="18"/>
      <c r="DW28" s="18"/>
      <c r="DX28" s="18"/>
      <c r="DY28" s="18"/>
      <c r="DZ28" s="12"/>
      <c r="EA28" s="12"/>
      <c r="EB28" s="12"/>
      <c r="EC28" s="12"/>
      <c r="ED28" s="12"/>
      <c r="EE28" s="13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3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3"/>
      <c r="FI28" s="12"/>
      <c r="FJ28" s="383">
        <f t="shared" si="78"/>
        <v>23</v>
      </c>
      <c r="FK28" s="384"/>
      <c r="FL28" s="882" t="s">
        <v>245</v>
      </c>
      <c r="FM28" s="880">
        <v>59179</v>
      </c>
      <c r="FN28" s="880">
        <v>53103</v>
      </c>
      <c r="FO28" s="880">
        <v>52452</v>
      </c>
      <c r="FP28" s="881">
        <f t="shared" si="113"/>
        <v>164734</v>
      </c>
      <c r="FQ28" s="880">
        <v>0</v>
      </c>
      <c r="FR28" s="880">
        <v>0</v>
      </c>
      <c r="FS28" s="880">
        <v>0</v>
      </c>
      <c r="FT28" s="880">
        <v>0</v>
      </c>
      <c r="FU28" s="955">
        <v>0</v>
      </c>
      <c r="FV28" s="16"/>
      <c r="FW28" s="266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3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3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401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3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952" t="s">
        <v>246</v>
      </c>
      <c r="IY28" s="12"/>
      <c r="IZ28" s="12"/>
      <c r="JA28" s="12"/>
      <c r="JB28" s="13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445"/>
      <c r="JP28" s="446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446"/>
      <c r="KD28" s="446"/>
      <c r="KE28" s="446"/>
      <c r="KF28" s="445"/>
      <c r="KG28" s="446"/>
      <c r="KH28" s="447">
        <f t="shared" si="65"/>
        <v>23</v>
      </c>
      <c r="KI28" s="430" t="s">
        <v>242</v>
      </c>
      <c r="KJ28" s="448"/>
      <c r="KK28" s="449"/>
      <c r="KL28" s="450">
        <f>II26</f>
        <v>38759425.026482746</v>
      </c>
      <c r="KM28" s="431">
        <f>KM27/KL28</f>
        <v>1.0296112631216738</v>
      </c>
      <c r="KN28" s="450">
        <f>IK26</f>
        <v>1927835.2228029165</v>
      </c>
      <c r="KO28" s="431">
        <f>KO27/KN28</f>
        <v>1.030056692462028</v>
      </c>
      <c r="KP28" s="450">
        <f>IM26</f>
        <v>18604918.663317382</v>
      </c>
      <c r="KQ28" s="431">
        <f>KQ27/KP28</f>
        <v>1.0305568179699989</v>
      </c>
      <c r="KR28" s="451">
        <f>IO26</f>
        <v>24327750.680698965</v>
      </c>
      <c r="KS28" s="431">
        <f>KS27/IO26</f>
        <v>1.0306631738375227</v>
      </c>
      <c r="KT28" s="450">
        <f>IQ26</f>
        <v>2404636.0465707122</v>
      </c>
      <c r="KU28" s="431">
        <f>KU27/KT28</f>
        <v>1.0298602274402935</v>
      </c>
      <c r="KV28" s="450">
        <f>IS26</f>
        <v>1494191.7007989204</v>
      </c>
      <c r="KW28" s="431">
        <f>KW27/KV28</f>
        <v>1.0296974495894085</v>
      </c>
      <c r="KX28" s="450">
        <f>IU26</f>
        <v>6168270.1152246939</v>
      </c>
      <c r="KY28" s="431">
        <f>KY27/KX28</f>
        <v>1.0286021448843243</v>
      </c>
      <c r="KZ28" s="450">
        <f>IW26</f>
        <v>12737461.434445117</v>
      </c>
      <c r="LA28" s="431">
        <f>LA27/KZ28</f>
        <v>1.0296926290009749</v>
      </c>
      <c r="LB28" s="450">
        <f>IY26</f>
        <v>106424488.89034145</v>
      </c>
      <c r="LC28" s="432">
        <f>LC27/LB28</f>
        <v>1.0299831759776885</v>
      </c>
      <c r="LD28" s="452"/>
      <c r="LE28" s="13"/>
      <c r="LF28" s="12"/>
      <c r="LG28" s="12"/>
      <c r="LH28" s="12"/>
      <c r="LI28" s="355">
        <f>LI26-LL26</f>
        <v>9574321.7722395211</v>
      </c>
      <c r="LJ28" s="355">
        <f>LJ26-LM26</f>
        <v>22581473.325630099</v>
      </c>
      <c r="LK28" s="355">
        <f>LK26-LN26</f>
        <v>3721615.968291238</v>
      </c>
      <c r="LL28" s="12"/>
      <c r="LM28" s="12"/>
      <c r="LN28" s="12"/>
      <c r="LO28" s="12"/>
      <c r="LP28" s="12"/>
      <c r="LQ28" s="12"/>
      <c r="LR28" s="12"/>
      <c r="LS28" s="13"/>
      <c r="LT28" s="12"/>
      <c r="LU28" s="12"/>
      <c r="LV28" s="12"/>
      <c r="LW28" s="12"/>
      <c r="LX28" s="12"/>
      <c r="LY28" s="13"/>
      <c r="LZ28" s="12"/>
      <c r="MA28" s="222">
        <f t="shared" ref="MA28:MA31" si="118">MA27+1</f>
        <v>22</v>
      </c>
      <c r="MB28" s="453" t="s">
        <v>247</v>
      </c>
      <c r="MC28" s="454">
        <f>SUM(MC25:MC27)</f>
        <v>129260677.11409155</v>
      </c>
      <c r="MD28" s="455">
        <f>MC28/$MC$34*100</f>
        <v>5.9154606275175201</v>
      </c>
      <c r="ME28" s="307"/>
      <c r="MF28" s="456">
        <f>SUM(MF25:MF27)</f>
        <v>129260677.11409155</v>
      </c>
      <c r="MG28" s="455">
        <f>MF28/$MC$34*100</f>
        <v>5.9154606275175201</v>
      </c>
      <c r="MH28" s="12"/>
      <c r="MI28" s="13"/>
      <c r="MJ28" s="12"/>
      <c r="MK28" s="222">
        <f t="shared" ref="MK28:MK32" si="119">MK27+1</f>
        <v>22</v>
      </c>
      <c r="ML28" s="453" t="s">
        <v>247</v>
      </c>
      <c r="MM28" s="984">
        <v>112402506.16203304</v>
      </c>
      <c r="MN28" s="454">
        <f>MN25+MN26+MN27</f>
        <v>129260677.11409155</v>
      </c>
      <c r="MO28" s="309">
        <f t="shared" si="70"/>
        <v>16858170.952058509</v>
      </c>
      <c r="MP28" s="723">
        <f t="shared" si="71"/>
        <v>0.14998038324658644</v>
      </c>
      <c r="MQ28" s="12"/>
      <c r="MR28" s="13"/>
      <c r="MS28" s="12"/>
    </row>
    <row r="29" spans="1:357" ht="16.5" x14ac:dyDescent="0.3">
      <c r="B29" s="462"/>
      <c r="C29" s="462"/>
      <c r="D29" s="462"/>
      <c r="E29" s="462"/>
      <c r="F29" s="462"/>
      <c r="G29" s="462"/>
      <c r="H29" s="462"/>
      <c r="I29" s="462"/>
      <c r="J29" s="462"/>
      <c r="N29" s="462"/>
      <c r="AL29" s="299"/>
      <c r="AN29" s="287"/>
      <c r="AS29" s="19"/>
      <c r="AT29" s="235"/>
      <c r="AV29" s="19"/>
      <c r="AW29" s="235"/>
      <c r="AX29" s="236"/>
      <c r="AZ29" s="19"/>
      <c r="BA29" s="235"/>
      <c r="BB29" s="236"/>
      <c r="BD29" s="19"/>
      <c r="BE29" s="235"/>
      <c r="BF29" s="236"/>
      <c r="BH29" s="19"/>
      <c r="BI29" s="235"/>
      <c r="BJ29" s="236"/>
      <c r="BL29" s="19"/>
      <c r="BM29" s="235"/>
      <c r="BN29" s="236"/>
      <c r="BP29" s="19"/>
      <c r="BQ29" s="235"/>
      <c r="BR29" s="236"/>
      <c r="BT29" s="19"/>
      <c r="BU29" s="235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19"/>
      <c r="CH29" s="236"/>
      <c r="CI29" s="236"/>
      <c r="CJ29" s="236"/>
      <c r="FJ29" s="222">
        <f t="shared" si="78"/>
        <v>24</v>
      </c>
      <c r="FK29" s="242"/>
      <c r="FL29" s="877" t="s">
        <v>248</v>
      </c>
      <c r="FM29" s="650">
        <v>10863</v>
      </c>
      <c r="FN29" s="650">
        <v>82972.12999999999</v>
      </c>
      <c r="FO29" s="650">
        <v>103206.25</v>
      </c>
      <c r="FP29" s="794">
        <f t="shared" si="113"/>
        <v>197041.38</v>
      </c>
      <c r="FQ29" s="650">
        <v>10863</v>
      </c>
      <c r="FR29" s="650">
        <v>82972.12999999999</v>
      </c>
      <c r="FS29" s="650">
        <v>103206.25</v>
      </c>
      <c r="FT29" s="650">
        <v>197041.38</v>
      </c>
      <c r="FU29" s="955">
        <v>197041.38</v>
      </c>
      <c r="FV29" s="16"/>
      <c r="FW29" s="266"/>
      <c r="IK29" s="12"/>
      <c r="IM29" s="12"/>
      <c r="IX29" s="952" t="s">
        <v>249</v>
      </c>
      <c r="IZ29" s="236"/>
      <c r="JA29" s="236"/>
      <c r="JB29" s="299"/>
      <c r="JO29" s="445"/>
      <c r="JP29" s="446"/>
      <c r="JQ29" s="446"/>
      <c r="JR29" s="446"/>
      <c r="JS29" s="446"/>
      <c r="JT29" s="446"/>
      <c r="JU29" s="446"/>
      <c r="JW29" s="446"/>
      <c r="JX29" s="457"/>
      <c r="JY29" s="446"/>
      <c r="JZ29" s="457"/>
      <c r="KA29" s="457"/>
      <c r="KB29" s="457"/>
      <c r="KC29" s="446"/>
      <c r="KD29" s="446"/>
      <c r="KE29" s="446"/>
      <c r="KF29" s="445"/>
      <c r="KG29" s="446"/>
      <c r="KM29" s="236"/>
      <c r="KO29" s="236"/>
      <c r="KQ29" s="236"/>
      <c r="KR29" s="12"/>
      <c r="KU29" s="236"/>
      <c r="KV29" s="236"/>
      <c r="KW29" s="236"/>
      <c r="KY29" s="236"/>
      <c r="LA29" s="236"/>
      <c r="LC29" s="236"/>
      <c r="LD29" s="411"/>
      <c r="MA29" s="192">
        <f t="shared" si="118"/>
        <v>23</v>
      </c>
      <c r="MB29" s="291" t="s">
        <v>250</v>
      </c>
      <c r="MC29" s="458">
        <f>MC11</f>
        <v>4749598.8</v>
      </c>
      <c r="MD29" s="331">
        <f t="shared" ref="MD29" si="120">MC29/$MC$34*100</f>
        <v>0.2173597208771044</v>
      </c>
      <c r="ME29" s="458">
        <f t="shared" ref="ME29:MF29" si="121">ME11</f>
        <v>0</v>
      </c>
      <c r="MF29" s="459">
        <f t="shared" si="121"/>
        <v>4749598.8</v>
      </c>
      <c r="MG29" s="331">
        <f t="shared" ref="MG29" si="122">MF29/$MC$34*100</f>
        <v>0.2173597208771044</v>
      </c>
      <c r="MK29" s="192">
        <f t="shared" si="119"/>
        <v>23</v>
      </c>
      <c r="ML29" s="291" t="s">
        <v>250</v>
      </c>
      <c r="MM29" s="984">
        <v>4758928.0499999989</v>
      </c>
      <c r="MN29" s="458">
        <f>MC29</f>
        <v>4749598.8</v>
      </c>
      <c r="MO29" s="320">
        <f t="shared" si="70"/>
        <v>-9329.2499999990687</v>
      </c>
      <c r="MP29" s="802">
        <f t="shared" si="71"/>
        <v>-1.9603679446254857E-3</v>
      </c>
    </row>
    <row r="30" spans="1:357" s="29" customFormat="1" ht="16.5" x14ac:dyDescent="0.3">
      <c r="A30" s="12"/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11"/>
      <c r="P30" s="12"/>
      <c r="Q30" s="12"/>
      <c r="R30" s="12"/>
      <c r="S30" s="12"/>
      <c r="T30" s="13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/>
      <c r="AF30" s="12"/>
      <c r="AG30" s="12"/>
      <c r="AH30" s="12"/>
      <c r="AI30" s="12"/>
      <c r="AJ30" s="12"/>
      <c r="AK30" s="12"/>
      <c r="AL30" s="299"/>
      <c r="AM30" s="12"/>
      <c r="AN30" s="287"/>
      <c r="AO30" s="12"/>
      <c r="AP30" s="12"/>
      <c r="AQ30" s="12"/>
      <c r="AR30" s="12"/>
      <c r="AS30" s="19"/>
      <c r="AT30" s="235"/>
      <c r="AU30" s="12"/>
      <c r="AV30" s="19"/>
      <c r="AW30" s="235"/>
      <c r="AX30" s="236"/>
      <c r="AY30" s="12"/>
      <c r="AZ30" s="19"/>
      <c r="BA30" s="235"/>
      <c r="BB30" s="236"/>
      <c r="BC30" s="12"/>
      <c r="BD30" s="19"/>
      <c r="BE30" s="235"/>
      <c r="BF30" s="236"/>
      <c r="BG30" s="12"/>
      <c r="BH30" s="19"/>
      <c r="BI30" s="235"/>
      <c r="BJ30" s="236"/>
      <c r="BK30" s="12"/>
      <c r="BL30" s="19"/>
      <c r="BM30" s="235"/>
      <c r="BN30" s="236"/>
      <c r="BO30" s="12"/>
      <c r="BP30" s="19"/>
      <c r="BQ30" s="235"/>
      <c r="BR30" s="236"/>
      <c r="BS30" s="12"/>
      <c r="BT30" s="19"/>
      <c r="BU30" s="235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19"/>
      <c r="CG30" s="12"/>
      <c r="CH30" s="236"/>
      <c r="CI30" s="236"/>
      <c r="CJ30" s="236"/>
      <c r="CK30" s="12"/>
      <c r="CL30" s="13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3"/>
      <c r="CZ30" s="12"/>
      <c r="DA30" s="12"/>
      <c r="DB30" s="12"/>
      <c r="DC30" s="12"/>
      <c r="DD30" s="16"/>
      <c r="DE30" s="12"/>
      <c r="DF30" s="12"/>
      <c r="DG30" s="12"/>
      <c r="DH30" s="12"/>
      <c r="DI30" s="13"/>
      <c r="DJ30" s="12"/>
      <c r="DK30" s="12"/>
      <c r="DL30" s="12"/>
      <c r="DM30" s="12"/>
      <c r="DN30" s="16"/>
      <c r="DO30" s="12"/>
      <c r="DP30" s="12"/>
      <c r="DQ30" s="12"/>
      <c r="DR30" s="13"/>
      <c r="DS30" s="12"/>
      <c r="DT30" s="12"/>
      <c r="DU30" s="17"/>
      <c r="DV30" s="18"/>
      <c r="DW30" s="18"/>
      <c r="DX30" s="18"/>
      <c r="DY30" s="18"/>
      <c r="DZ30" s="12"/>
      <c r="EA30" s="12"/>
      <c r="EB30" s="12"/>
      <c r="EC30" s="12"/>
      <c r="ED30" s="12"/>
      <c r="EE30" s="13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3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3"/>
      <c r="FI30" s="12"/>
      <c r="FJ30" s="383">
        <f t="shared" si="78"/>
        <v>25</v>
      </c>
      <c r="FK30" s="384"/>
      <c r="FL30" s="882" t="s">
        <v>251</v>
      </c>
      <c r="FM30" s="880">
        <v>400444.33639999997</v>
      </c>
      <c r="FN30" s="880">
        <v>248442.43</v>
      </c>
      <c r="FO30" s="880">
        <v>370902.63</v>
      </c>
      <c r="FP30" s="881">
        <f t="shared" si="113"/>
        <v>1019789.3964</v>
      </c>
      <c r="FQ30" s="880">
        <v>400453.42730909091</v>
      </c>
      <c r="FR30" s="880">
        <v>248442.43000000002</v>
      </c>
      <c r="FS30" s="880">
        <v>370902.63</v>
      </c>
      <c r="FT30" s="880">
        <v>1019798.487309091</v>
      </c>
      <c r="FU30" s="955">
        <v>1019798.487309091</v>
      </c>
      <c r="FV30" s="16"/>
      <c r="FW30" s="266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3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3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3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3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3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445"/>
      <c r="JP30" s="446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446"/>
      <c r="KF30" s="445"/>
      <c r="KG30" s="446"/>
      <c r="KH30" s="189"/>
      <c r="KI30" s="189"/>
      <c r="KJ30" s="189"/>
      <c r="KK30" s="189"/>
      <c r="KL30" s="189"/>
      <c r="KM30" s="460"/>
      <c r="KN30" s="460"/>
      <c r="KO30" s="461"/>
      <c r="KP30" s="189"/>
      <c r="KQ30" s="461"/>
      <c r="KR30" s="12"/>
      <c r="KS30" s="12"/>
      <c r="KT30" s="12"/>
      <c r="KU30" s="12"/>
      <c r="KV30" s="12"/>
      <c r="KW30" s="12"/>
      <c r="KX30" s="16"/>
      <c r="KY30" s="12"/>
      <c r="KZ30" s="12"/>
      <c r="LA30" s="12"/>
      <c r="LB30" s="12"/>
      <c r="LC30" s="12"/>
      <c r="LD30" s="411"/>
      <c r="LE30" s="13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3"/>
      <c r="LT30" s="12"/>
      <c r="LU30" s="12"/>
      <c r="LV30" s="12"/>
      <c r="LW30" s="12"/>
      <c r="LX30" s="12"/>
      <c r="LY30" s="13"/>
      <c r="LZ30" s="12"/>
      <c r="MA30" s="222">
        <f t="shared" si="118"/>
        <v>24</v>
      </c>
      <c r="MB30" s="453" t="s">
        <v>252</v>
      </c>
      <c r="MC30" s="454">
        <f>MC28-MC29</f>
        <v>124511078.31409155</v>
      </c>
      <c r="MD30" s="455">
        <f>MC30/$MC$34*100</f>
        <v>5.6981009066404162</v>
      </c>
      <c r="ME30" s="307"/>
      <c r="MF30" s="456">
        <f>MF28-MF29</f>
        <v>124511078.31409155</v>
      </c>
      <c r="MG30" s="455">
        <f>MF30/$MC$34*100</f>
        <v>5.6981009066404162</v>
      </c>
      <c r="MH30" s="12"/>
      <c r="MI30" s="13"/>
      <c r="MJ30" s="12"/>
      <c r="MK30" s="222">
        <f t="shared" si="119"/>
        <v>24</v>
      </c>
      <c r="ML30" s="453" t="s">
        <v>252</v>
      </c>
      <c r="MM30" s="984">
        <v>107643578.11203304</v>
      </c>
      <c r="MN30" s="454">
        <f>MC30</f>
        <v>124511078.31409155</v>
      </c>
      <c r="MO30" s="309">
        <f t="shared" si="70"/>
        <v>16867500.202058509</v>
      </c>
      <c r="MP30" s="723">
        <f t="shared" si="71"/>
        <v>0.15669769156598631</v>
      </c>
      <c r="MQ30" s="12"/>
      <c r="MR30" s="13"/>
      <c r="MS30" s="12"/>
    </row>
    <row r="31" spans="1:357" ht="16.5" customHeight="1" x14ac:dyDescent="0.3"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AL31" s="299"/>
      <c r="AN31" s="379"/>
      <c r="AO31" s="380"/>
      <c r="AQ31" s="15"/>
      <c r="AT31" s="381"/>
      <c r="AU31" s="15"/>
      <c r="AW31" s="381"/>
      <c r="AX31" s="381"/>
      <c r="AY31" s="15"/>
      <c r="BA31" s="381"/>
      <c r="BB31" s="381"/>
      <c r="BC31" s="15"/>
      <c r="BE31" s="381"/>
      <c r="BF31" s="381"/>
      <c r="BG31" s="15"/>
      <c r="BI31" s="381"/>
      <c r="BJ31" s="381"/>
      <c r="BK31" s="15"/>
      <c r="BM31" s="381"/>
      <c r="BN31" s="381"/>
      <c r="BO31" s="15"/>
      <c r="BQ31" s="381"/>
      <c r="BR31" s="381"/>
      <c r="BS31" s="15"/>
      <c r="BU31" s="381"/>
      <c r="BV31" s="381"/>
      <c r="BW31" s="381"/>
      <c r="BX31" s="381"/>
      <c r="BY31" s="381"/>
      <c r="BZ31" s="381"/>
      <c r="CA31" s="381"/>
      <c r="CB31" s="381"/>
      <c r="CC31" s="381"/>
      <c r="CD31" s="381"/>
      <c r="CE31" s="381"/>
      <c r="CG31" s="381"/>
      <c r="CH31" s="381"/>
      <c r="CI31" s="381"/>
      <c r="CJ31" s="381"/>
      <c r="FJ31" s="293">
        <f t="shared" si="78"/>
        <v>26</v>
      </c>
      <c r="FK31" s="463"/>
      <c r="FL31" s="464" t="s">
        <v>221</v>
      </c>
      <c r="FM31" s="309">
        <f>SUM(FM26:FM30)</f>
        <v>969903.95640000002</v>
      </c>
      <c r="FN31" s="309">
        <f>SUM(FN26:FN30)</f>
        <v>452578.26999999996</v>
      </c>
      <c r="FO31" s="309">
        <f>SUM(FO26:FO30)</f>
        <v>812371.4</v>
      </c>
      <c r="FP31" s="325">
        <f t="shared" si="113"/>
        <v>2234853.6264</v>
      </c>
      <c r="FQ31" s="309">
        <v>910734.04730909085</v>
      </c>
      <c r="FR31" s="309">
        <v>399475.27</v>
      </c>
      <c r="FS31" s="309">
        <v>759919.4</v>
      </c>
      <c r="FT31" s="309">
        <v>2070128.717309091</v>
      </c>
      <c r="FU31" s="971">
        <v>2070128.717309091</v>
      </c>
      <c r="FV31" s="16"/>
      <c r="FW31" s="266"/>
      <c r="IK31" s="12"/>
      <c r="IM31" s="12"/>
      <c r="KO31" s="12"/>
      <c r="KQ31" s="12"/>
      <c r="KR31" s="12"/>
      <c r="LD31" s="411"/>
      <c r="MA31" s="192">
        <f t="shared" si="118"/>
        <v>25</v>
      </c>
      <c r="MB31" s="935" t="s">
        <v>253</v>
      </c>
      <c r="MC31" s="935">
        <f>'ABDA 8 month Phase I'!JV26+'ABDA 8 month Phase I'!JZ26+MC11</f>
        <v>113337049.03736736</v>
      </c>
      <c r="MD31" s="936">
        <f>MC31/$MC$34*100</f>
        <v>5.1867347919569262</v>
      </c>
      <c r="ME31" s="796"/>
      <c r="MF31" s="937"/>
      <c r="MG31" s="466"/>
      <c r="MK31" s="312">
        <f>MK30+1</f>
        <v>25</v>
      </c>
      <c r="ML31" s="935" t="str">
        <f>MB31</f>
        <v>Total Revenue at Current Rates</v>
      </c>
      <c r="MM31" s="980">
        <v>136637688.37609816</v>
      </c>
      <c r="MN31" s="935">
        <f>MC31</f>
        <v>113337049.03736736</v>
      </c>
      <c r="MO31" s="935">
        <f t="shared" si="70"/>
        <v>-23300639.338730797</v>
      </c>
      <c r="MP31" s="944">
        <f t="shared" si="71"/>
        <v>-0.17052864122375438</v>
      </c>
    </row>
    <row r="32" spans="1:357" ht="16.5" x14ac:dyDescent="0.3"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AL32" s="299"/>
      <c r="AN32" s="287"/>
      <c r="AT32" s="467"/>
      <c r="AW32" s="467"/>
      <c r="AX32" s="236"/>
      <c r="BA32" s="467"/>
      <c r="BB32" s="236"/>
      <c r="BE32" s="467"/>
      <c r="BF32" s="236"/>
      <c r="BI32" s="467"/>
      <c r="BJ32" s="236"/>
      <c r="BM32" s="467"/>
      <c r="BN32" s="236"/>
      <c r="BQ32" s="467"/>
      <c r="BR32" s="236"/>
      <c r="BU32" s="467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G32" s="467"/>
      <c r="CH32" s="236"/>
      <c r="CI32" s="236"/>
      <c r="CJ32" s="236"/>
      <c r="FJ32" s="383">
        <f t="shared" si="78"/>
        <v>27</v>
      </c>
      <c r="FK32" s="468" t="s">
        <v>254</v>
      </c>
      <c r="FL32" s="469"/>
      <c r="FM32" s="470"/>
      <c r="FN32" s="470"/>
      <c r="FO32" s="470"/>
      <c r="FP32" s="471"/>
      <c r="FQ32" s="470"/>
      <c r="FR32" s="470"/>
      <c r="FS32" s="470"/>
      <c r="FT32" s="470"/>
      <c r="FU32" s="470"/>
      <c r="FV32" s="16"/>
      <c r="FW32" s="266"/>
      <c r="IK32" s="12"/>
      <c r="IM32" s="12"/>
      <c r="JP32" s="189"/>
      <c r="KE32" s="189"/>
      <c r="KF32" s="472"/>
      <c r="KG32" s="189"/>
      <c r="KO32" s="12"/>
      <c r="KQ32" s="12"/>
      <c r="KR32" s="12"/>
      <c r="LD32" s="236"/>
      <c r="MA32" s="293">
        <f>MA31+1</f>
        <v>26</v>
      </c>
      <c r="MB32" s="938" t="s">
        <v>255</v>
      </c>
      <c r="MC32" s="938">
        <f>MC30/MC9-1</f>
        <v>0.15018743537034096</v>
      </c>
      <c r="MD32" s="938"/>
      <c r="ME32" s="839"/>
      <c r="MF32" s="939">
        <f>(MF9)/MF30-1</f>
        <v>0</v>
      </c>
      <c r="MG32" s="473"/>
      <c r="MK32" s="293">
        <f t="shared" si="119"/>
        <v>26</v>
      </c>
      <c r="ML32" s="938" t="str">
        <f>MB32</f>
        <v>Proposed Rate Increase</v>
      </c>
      <c r="MM32" s="985">
        <v>-0.18249978315112159</v>
      </c>
      <c r="MN32" s="938">
        <f>MC32</f>
        <v>0.15018743537034096</v>
      </c>
      <c r="MO32" s="938">
        <f t="shared" si="70"/>
        <v>0.33268721852146255</v>
      </c>
      <c r="MP32" s="474"/>
    </row>
    <row r="33" spans="2:354" ht="17.100000000000001" customHeight="1" x14ac:dyDescent="0.3"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AL33" s="299"/>
      <c r="AN33" s="287"/>
      <c r="AT33" s="467"/>
      <c r="AW33" s="467"/>
      <c r="AX33" s="236"/>
      <c r="BA33" s="467"/>
      <c r="BB33" s="236"/>
      <c r="BE33" s="467"/>
      <c r="BF33" s="236"/>
      <c r="BI33" s="467"/>
      <c r="BJ33" s="236"/>
      <c r="BM33" s="467"/>
      <c r="BN33" s="236"/>
      <c r="BQ33" s="467"/>
      <c r="BR33" s="236"/>
      <c r="BU33" s="467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G33" s="467"/>
      <c r="CH33" s="236"/>
      <c r="CI33" s="236"/>
      <c r="CJ33" s="236"/>
      <c r="EE33" s="475"/>
      <c r="FJ33" s="222">
        <f t="shared" si="78"/>
        <v>28</v>
      </c>
      <c r="FK33" s="242"/>
      <c r="FL33" s="877" t="s">
        <v>256</v>
      </c>
      <c r="FM33" s="650">
        <v>33261.31</v>
      </c>
      <c r="FN33" s="650">
        <v>184151.55</v>
      </c>
      <c r="FO33" s="650">
        <v>509378.34</v>
      </c>
      <c r="FP33" s="794">
        <f>FM33+FO33+FN33</f>
        <v>726791.2</v>
      </c>
      <c r="FQ33" s="650">
        <v>33261.31</v>
      </c>
      <c r="FR33" s="650">
        <v>184151.55</v>
      </c>
      <c r="FS33" s="650">
        <v>509378.34</v>
      </c>
      <c r="FT33" s="650">
        <v>726791.2</v>
      </c>
      <c r="FU33" s="955">
        <v>726791.2</v>
      </c>
      <c r="FW33" s="266"/>
      <c r="IK33" s="12"/>
      <c r="IM33" s="12"/>
      <c r="JO33" s="476"/>
      <c r="JP33" s="477"/>
      <c r="KE33" s="477"/>
      <c r="KF33" s="476"/>
      <c r="KG33" s="477"/>
      <c r="KO33" s="12"/>
      <c r="KQ33" s="12"/>
      <c r="KR33" s="12"/>
      <c r="MA33" s="341" t="s">
        <v>223</v>
      </c>
      <c r="MB33" s="341"/>
      <c r="MC33" s="341"/>
      <c r="MD33" s="341"/>
      <c r="ME33" s="341"/>
      <c r="MF33" s="341"/>
      <c r="MG33" s="341"/>
      <c r="MK33" s="341" t="s">
        <v>223</v>
      </c>
      <c r="ML33" s="298"/>
      <c r="MM33" s="298"/>
      <c r="MN33" s="298"/>
      <c r="MO33" s="478"/>
      <c r="MP33" s="478"/>
    </row>
    <row r="34" spans="2:354" ht="17.850000000000001" customHeight="1" x14ac:dyDescent="0.3"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AL34" s="299"/>
      <c r="AN34" s="287"/>
      <c r="AT34" s="467"/>
      <c r="AW34" s="467"/>
      <c r="AX34" s="236"/>
      <c r="BA34" s="467"/>
      <c r="BB34" s="236"/>
      <c r="BE34" s="467"/>
      <c r="BF34" s="236"/>
      <c r="BI34" s="467"/>
      <c r="BJ34" s="236"/>
      <c r="BM34" s="467"/>
      <c r="BN34" s="236"/>
      <c r="BQ34" s="467"/>
      <c r="BR34" s="236"/>
      <c r="BU34" s="467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G34" s="467"/>
      <c r="CH34" s="236"/>
      <c r="CI34" s="236"/>
      <c r="CJ34" s="236"/>
      <c r="FJ34" s="383">
        <f t="shared" si="78"/>
        <v>29</v>
      </c>
      <c r="FK34" s="384"/>
      <c r="FL34" s="882" t="s">
        <v>257</v>
      </c>
      <c r="FM34" s="880">
        <v>42818</v>
      </c>
      <c r="FN34" s="880">
        <v>398970.26</v>
      </c>
      <c r="FO34" s="880">
        <v>550411.94579999999</v>
      </c>
      <c r="FP34" s="881">
        <f>FM34+FO34+FN34</f>
        <v>992200.2058</v>
      </c>
      <c r="FQ34" s="880">
        <v>42518</v>
      </c>
      <c r="FR34" s="880">
        <v>398970.26</v>
      </c>
      <c r="FS34" s="880">
        <v>550411.94579999999</v>
      </c>
      <c r="FT34" s="880">
        <v>991900.2058</v>
      </c>
      <c r="FU34" s="955">
        <v>991900.2058</v>
      </c>
      <c r="FV34" s="16"/>
      <c r="FW34" s="266"/>
      <c r="IK34" s="12"/>
      <c r="IM34" s="12"/>
      <c r="JO34" s="57"/>
      <c r="JP34" s="24"/>
      <c r="KE34" s="24"/>
      <c r="KF34" s="25"/>
      <c r="KG34" s="24"/>
      <c r="KO34" s="12"/>
      <c r="KQ34" s="12"/>
      <c r="KR34" s="12"/>
      <c r="MA34" s="192">
        <f>MA32+1</f>
        <v>27</v>
      </c>
      <c r="MB34" s="479" t="s">
        <v>118</v>
      </c>
      <c r="MC34" s="1054">
        <f>JI26</f>
        <v>2185132912.7743182</v>
      </c>
      <c r="MD34" s="1054"/>
      <c r="ME34" s="480"/>
      <c r="MF34" s="481"/>
      <c r="MG34" s="480">
        <f>MC34</f>
        <v>2185132912.7743182</v>
      </c>
      <c r="MK34" s="192">
        <f>MK32+1</f>
        <v>27</v>
      </c>
      <c r="ML34" s="479" t="str">
        <f>MB34</f>
        <v>Target Year Volume</v>
      </c>
      <c r="MM34" s="482">
        <v>2172816411.6368828</v>
      </c>
      <c r="MN34" s="480">
        <f>MC34</f>
        <v>2185132912.7743182</v>
      </c>
      <c r="MO34" s="480">
        <f t="shared" ref="MO34" si="123">MN34-MM34</f>
        <v>12316501.137435436</v>
      </c>
      <c r="MP34" s="946">
        <f t="shared" ref="MP34:MP35" si="124">MO34/MM34</f>
        <v>5.6684499764786149E-3</v>
      </c>
    </row>
    <row r="35" spans="2:354" ht="17.25" thickBot="1" x14ac:dyDescent="0.35"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AL35" s="299"/>
      <c r="AN35" s="287"/>
      <c r="AT35" s="467"/>
      <c r="AW35" s="467"/>
      <c r="AX35" s="236"/>
      <c r="BA35" s="467"/>
      <c r="BB35" s="236"/>
      <c r="BE35" s="467"/>
      <c r="BF35" s="236"/>
      <c r="BI35" s="467"/>
      <c r="BJ35" s="236"/>
      <c r="BM35" s="467"/>
      <c r="BN35" s="236"/>
      <c r="BQ35" s="467"/>
      <c r="BR35" s="236"/>
      <c r="BU35" s="467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G35" s="467"/>
      <c r="CH35" s="236"/>
      <c r="CI35" s="236"/>
      <c r="CJ35" s="236"/>
      <c r="FJ35" s="297">
        <f t="shared" si="78"/>
        <v>30</v>
      </c>
      <c r="FK35" s="483"/>
      <c r="FL35" s="484" t="s">
        <v>221</v>
      </c>
      <c r="FM35" s="309">
        <f>SUM(FM33:FM34)</f>
        <v>76079.31</v>
      </c>
      <c r="FN35" s="309">
        <f>SUM(FN33:FN34)</f>
        <v>583121.81000000006</v>
      </c>
      <c r="FO35" s="309">
        <f>SUM(FO33:FO34)</f>
        <v>1059790.2858</v>
      </c>
      <c r="FP35" s="325">
        <f>FM35+FO35+FN35</f>
        <v>1718991.4058000001</v>
      </c>
      <c r="FQ35" s="309">
        <v>75779.31</v>
      </c>
      <c r="FR35" s="309">
        <v>583121.81000000006</v>
      </c>
      <c r="FS35" s="309">
        <v>1059790.2858</v>
      </c>
      <c r="FT35" s="309">
        <v>1718691.4057999998</v>
      </c>
      <c r="FU35" s="971">
        <v>1718691.4057999998</v>
      </c>
      <c r="FW35" s="266"/>
      <c r="IK35" s="12"/>
      <c r="IM35" s="12"/>
      <c r="JP35" s="189"/>
      <c r="KE35" s="189"/>
      <c r="KF35" s="472"/>
      <c r="KG35" s="189"/>
      <c r="KO35" s="12"/>
      <c r="KQ35" s="12"/>
      <c r="KR35" s="12"/>
      <c r="MA35" s="274">
        <f>MA34+1</f>
        <v>28</v>
      </c>
      <c r="MB35" s="486" t="s">
        <v>230</v>
      </c>
      <c r="MC35" s="1050">
        <f>JG26</f>
        <v>219</v>
      </c>
      <c r="MD35" s="1050"/>
      <c r="ME35" s="487"/>
      <c r="MF35" s="488"/>
      <c r="MG35" s="487">
        <f>MC35</f>
        <v>219</v>
      </c>
      <c r="MK35" s="274">
        <f>MK34+1</f>
        <v>28</v>
      </c>
      <c r="ML35" s="486" t="str">
        <f>MB35</f>
        <v>Number of Depots</v>
      </c>
      <c r="MM35" s="489">
        <v>221</v>
      </c>
      <c r="MN35" s="487">
        <f>MC35</f>
        <v>219</v>
      </c>
      <c r="MO35" s="490">
        <f>MN35-MM35</f>
        <v>-2</v>
      </c>
      <c r="MP35" s="947">
        <f t="shared" si="124"/>
        <v>-9.0497737556561094E-3</v>
      </c>
    </row>
    <row r="36" spans="2:354" ht="17.25" thickBot="1" x14ac:dyDescent="0.35"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AN36" s="379"/>
      <c r="FJ36" s="491">
        <f t="shared" si="78"/>
        <v>31</v>
      </c>
      <c r="FK36" s="492"/>
      <c r="FL36" s="493" t="s">
        <v>71</v>
      </c>
      <c r="FM36" s="494">
        <f>FM20+FM24+FM31+FM35</f>
        <v>2645170.5619999999</v>
      </c>
      <c r="FN36" s="494">
        <f>FN20+FN24+FN31+FN35</f>
        <v>3815523.84485</v>
      </c>
      <c r="FO36" s="494">
        <f>FO20+FO24+FO31+FO35</f>
        <v>5940057.9059100002</v>
      </c>
      <c r="FP36" s="495">
        <f>FM36+FO36+FN36</f>
        <v>12400752.312759999</v>
      </c>
      <c r="FQ36" s="494">
        <v>2543957.5453704544</v>
      </c>
      <c r="FR36" s="494">
        <v>3606846.8748500003</v>
      </c>
      <c r="FS36" s="494">
        <v>5884447.3059099996</v>
      </c>
      <c r="FT36" s="494">
        <v>12035251.726130454</v>
      </c>
      <c r="FU36" s="972">
        <v>12035251.726130454</v>
      </c>
      <c r="FW36" s="266"/>
      <c r="IK36" s="12"/>
      <c r="IM36" s="12"/>
      <c r="JO36" s="496"/>
      <c r="JP36" s="485"/>
      <c r="JQ36" s="485"/>
      <c r="JR36" s="485"/>
      <c r="JS36" s="485"/>
      <c r="JT36" s="485"/>
      <c r="JU36" s="485"/>
      <c r="JW36" s="446"/>
      <c r="JX36" s="446"/>
      <c r="JY36" s="446"/>
      <c r="JZ36" s="446"/>
      <c r="KA36" s="446"/>
      <c r="KB36" s="446"/>
      <c r="KC36" s="485"/>
      <c r="KD36" s="485"/>
      <c r="KE36" s="485"/>
      <c r="KF36" s="497"/>
      <c r="KG36" s="485"/>
      <c r="KO36" s="12"/>
      <c r="KQ36" s="12"/>
      <c r="KR36" s="12"/>
      <c r="MA36" s="12"/>
      <c r="MB36" s="190" t="s">
        <v>449</v>
      </c>
    </row>
    <row r="37" spans="2:354" ht="15.75" customHeight="1" x14ac:dyDescent="0.3"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AL37" s="299"/>
      <c r="AN37" s="287"/>
      <c r="AP37" s="498"/>
      <c r="AQ37" s="15"/>
      <c r="AT37" s="211"/>
      <c r="AV37" s="499"/>
      <c r="AW37" s="211"/>
      <c r="AX37" s="236"/>
      <c r="AZ37" s="499"/>
      <c r="BA37" s="211"/>
      <c r="BB37" s="236"/>
      <c r="BD37" s="499"/>
      <c r="BE37" s="211"/>
      <c r="BF37" s="236"/>
      <c r="BH37" s="499"/>
      <c r="BI37" s="211"/>
      <c r="BJ37" s="236"/>
      <c r="BL37" s="499"/>
      <c r="BM37" s="211"/>
      <c r="BN37" s="236"/>
      <c r="BP37" s="499"/>
      <c r="BQ37" s="211"/>
      <c r="BR37" s="236"/>
      <c r="BT37" s="499"/>
      <c r="BU37" s="211"/>
      <c r="BV37" s="236"/>
      <c r="BW37" s="236"/>
      <c r="BX37" s="236"/>
      <c r="BY37" s="236"/>
      <c r="BZ37" s="236"/>
      <c r="CA37" s="236"/>
      <c r="CB37" s="236"/>
      <c r="CC37" s="236"/>
      <c r="CD37" s="236"/>
      <c r="CE37" s="236"/>
      <c r="CF37" s="499"/>
      <c r="CG37" s="211"/>
      <c r="CH37" s="236"/>
      <c r="CI37" s="236"/>
      <c r="CJ37" s="236"/>
      <c r="IK37" s="12"/>
      <c r="IM37" s="12"/>
      <c r="JO37" s="496"/>
      <c r="JP37" s="485"/>
      <c r="JQ37" s="485"/>
      <c r="JR37" s="485"/>
      <c r="JS37" s="485"/>
      <c r="JT37" s="485"/>
      <c r="JU37" s="485"/>
      <c r="JW37" s="446"/>
      <c r="JX37" s="446"/>
      <c r="JY37" s="446"/>
      <c r="JZ37" s="446"/>
      <c r="KA37" s="446"/>
      <c r="KB37" s="446"/>
      <c r="KC37" s="485"/>
      <c r="KD37" s="485"/>
      <c r="KE37" s="485"/>
      <c r="KF37" s="497"/>
      <c r="KG37" s="485"/>
      <c r="KO37" s="12"/>
      <c r="KQ37" s="12"/>
      <c r="KR37" s="12"/>
      <c r="MA37" s="12"/>
      <c r="MB37" s="194" t="s">
        <v>232</v>
      </c>
      <c r="MC37" s="320">
        <v>19960070.068912446</v>
      </c>
      <c r="MD37" s="331">
        <v>0.91454128970437332</v>
      </c>
    </row>
    <row r="38" spans="2:354" ht="16.5" x14ac:dyDescent="0.3"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AL38" s="299"/>
      <c r="AN38" s="287"/>
      <c r="AQ38" s="15"/>
      <c r="BU38" s="232"/>
      <c r="CG38" s="232"/>
      <c r="FW38" s="266"/>
      <c r="IK38" s="12"/>
      <c r="IM38" s="12"/>
      <c r="JO38" s="496"/>
      <c r="JP38" s="485"/>
      <c r="JQ38" s="485"/>
      <c r="JR38" s="485"/>
      <c r="JS38" s="485"/>
      <c r="JT38" s="485"/>
      <c r="JU38" s="485"/>
      <c r="JW38" s="446"/>
      <c r="JX38" s="446"/>
      <c r="JY38" s="446"/>
      <c r="JZ38" s="446"/>
      <c r="KA38" s="446"/>
      <c r="KB38" s="446"/>
      <c r="KC38" s="485"/>
      <c r="KD38" s="485"/>
      <c r="KE38" s="485"/>
      <c r="KF38" s="497"/>
      <c r="KG38" s="485"/>
      <c r="KO38" s="12"/>
      <c r="KQ38" s="12"/>
      <c r="KR38" s="12"/>
      <c r="MA38" s="12"/>
      <c r="MB38" s="816" t="s">
        <v>233</v>
      </c>
      <c r="MC38" s="932">
        <v>5.390000000000017E-2</v>
      </c>
      <c r="MD38" s="930"/>
    </row>
    <row r="39" spans="2:354" ht="16.5" x14ac:dyDescent="0.3"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IK39" s="12"/>
      <c r="IM39" s="12"/>
      <c r="JO39" s="496"/>
      <c r="JP39" s="485"/>
      <c r="JQ39" s="485"/>
      <c r="JR39" s="485"/>
      <c r="JS39" s="485"/>
      <c r="JT39" s="485"/>
      <c r="JU39" s="485"/>
      <c r="JW39" s="446"/>
      <c r="JX39" s="446"/>
      <c r="JY39" s="446"/>
      <c r="JZ39" s="446"/>
      <c r="KA39" s="446"/>
      <c r="KB39" s="446"/>
      <c r="KC39" s="485"/>
      <c r="KD39" s="485"/>
      <c r="KE39" s="485"/>
      <c r="KF39" s="497"/>
      <c r="KG39" s="485"/>
      <c r="KO39" s="12"/>
      <c r="KQ39" s="12"/>
      <c r="KR39" s="12"/>
      <c r="LK39" s="500"/>
      <c r="LL39" s="500"/>
      <c r="LM39" s="500"/>
      <c r="LN39" s="500"/>
      <c r="MA39" s="12"/>
      <c r="MB39" s="375" t="s">
        <v>236</v>
      </c>
      <c r="MC39" s="376">
        <v>129163059.59289664</v>
      </c>
      <c r="MD39" s="377">
        <v>5.9180629473955912</v>
      </c>
      <c r="MF39" s="1004"/>
    </row>
    <row r="40" spans="2:354" ht="16.5" x14ac:dyDescent="0.3"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AL40" s="299"/>
      <c r="IK40" s="12"/>
      <c r="IM40" s="12"/>
      <c r="JW40" s="446"/>
      <c r="JX40" s="446"/>
      <c r="JY40" s="446"/>
      <c r="JZ40" s="446"/>
      <c r="KA40" s="446"/>
      <c r="KB40" s="446"/>
      <c r="KO40" s="12"/>
      <c r="KQ40" s="12"/>
      <c r="KR40" s="12"/>
      <c r="LK40" s="500"/>
      <c r="LL40" s="500"/>
      <c r="LM40" s="500"/>
      <c r="LN40" s="500"/>
      <c r="MA40" s="12"/>
      <c r="MB40" s="650" t="s">
        <v>239</v>
      </c>
      <c r="MC40" s="650">
        <v>0</v>
      </c>
      <c r="MD40" s="747">
        <v>0</v>
      </c>
      <c r="MF40" s="1004"/>
    </row>
    <row r="41" spans="2:354" ht="16.5" x14ac:dyDescent="0.3"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AL41" s="502"/>
      <c r="IK41" s="12"/>
      <c r="IM41" s="12"/>
      <c r="JW41" s="446"/>
      <c r="JX41" s="446"/>
      <c r="JY41" s="446"/>
      <c r="JZ41" s="446"/>
      <c r="KA41" s="446"/>
      <c r="KB41" s="446"/>
      <c r="KO41" s="12"/>
      <c r="KQ41" s="12"/>
      <c r="KR41" s="12"/>
      <c r="LK41" s="500"/>
      <c r="LL41" s="503"/>
      <c r="LM41" s="504"/>
      <c r="LN41" s="505"/>
      <c r="MA41" s="12"/>
      <c r="MB41" s="935" t="s">
        <v>244</v>
      </c>
      <c r="MC41" s="935">
        <v>0</v>
      </c>
      <c r="MD41" s="936">
        <v>0</v>
      </c>
      <c r="MF41" s="1004"/>
    </row>
    <row r="42" spans="2:354" ht="16.5" x14ac:dyDescent="0.3"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AL42" s="299"/>
      <c r="IK42" s="12"/>
      <c r="IM42" s="12"/>
      <c r="JW42" s="446"/>
      <c r="JX42" s="446"/>
      <c r="JY42" s="446"/>
      <c r="JZ42" s="446"/>
      <c r="KA42" s="446"/>
      <c r="KB42" s="446"/>
      <c r="KO42" s="12"/>
      <c r="KQ42" s="12"/>
      <c r="KR42" s="12"/>
      <c r="LK42" s="500"/>
      <c r="LL42" s="504"/>
      <c r="LM42" s="504"/>
      <c r="LN42" s="505"/>
      <c r="MA42" s="12"/>
      <c r="MB42" s="453" t="s">
        <v>247</v>
      </c>
      <c r="MC42" s="454">
        <v>129163059.59289664</v>
      </c>
      <c r="MD42" s="455">
        <v>5.9180629473955912</v>
      </c>
      <c r="MF42" s="1004"/>
    </row>
    <row r="43" spans="2:354" ht="16.5" x14ac:dyDescent="0.3"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IK43" s="12"/>
      <c r="IM43" s="12"/>
      <c r="JW43" s="446"/>
      <c r="JX43" s="446"/>
      <c r="JY43" s="446"/>
      <c r="JZ43" s="446"/>
      <c r="KA43" s="446"/>
      <c r="KB43" s="446"/>
      <c r="KO43" s="12"/>
      <c r="KQ43" s="12"/>
      <c r="KR43" s="12"/>
      <c r="LK43" s="500"/>
      <c r="LL43" s="503"/>
      <c r="LM43" s="503"/>
      <c r="LN43" s="505"/>
      <c r="MA43" s="12"/>
      <c r="MB43" s="291" t="s">
        <v>250</v>
      </c>
      <c r="MC43" s="458">
        <v>4749598.8</v>
      </c>
      <c r="MD43" s="331">
        <v>0.21761968756290126</v>
      </c>
      <c r="MF43" s="1004"/>
    </row>
    <row r="44" spans="2:354" ht="16.5" x14ac:dyDescent="0.3">
      <c r="B44" s="462"/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IK44" s="12"/>
      <c r="IM44" s="12"/>
      <c r="JW44" s="446"/>
      <c r="JX44" s="446"/>
      <c r="JY44" s="446"/>
      <c r="JZ44" s="446"/>
      <c r="KA44" s="446"/>
      <c r="KB44" s="446"/>
      <c r="KO44" s="12"/>
      <c r="KQ44" s="12"/>
      <c r="KR44" s="12"/>
      <c r="LK44" s="500"/>
      <c r="LL44" s="500"/>
      <c r="LM44" s="500"/>
      <c r="LN44" s="505"/>
      <c r="MA44" s="12"/>
      <c r="MB44" s="453" t="s">
        <v>252</v>
      </c>
      <c r="MC44" s="454">
        <v>124413460.79289664</v>
      </c>
      <c r="MD44" s="455">
        <v>5.7004432598326904</v>
      </c>
      <c r="MF44" s="1004"/>
      <c r="ML44" s="32"/>
    </row>
    <row r="45" spans="2:354" ht="16.5" x14ac:dyDescent="0.3">
      <c r="IK45" s="12"/>
      <c r="IM45" s="12"/>
      <c r="JW45" s="446"/>
      <c r="JX45" s="446"/>
      <c r="JY45" s="446"/>
      <c r="JZ45" s="446"/>
      <c r="KA45" s="446"/>
      <c r="KB45" s="446"/>
      <c r="KO45" s="12"/>
      <c r="KQ45" s="12"/>
      <c r="KR45" s="12"/>
      <c r="LK45" s="500"/>
      <c r="LL45" s="500"/>
      <c r="LM45" s="500"/>
      <c r="LN45" s="500"/>
      <c r="MA45" s="12"/>
      <c r="MB45" s="935" t="s">
        <v>253</v>
      </c>
      <c r="MC45" s="935">
        <v>113155729.87481624</v>
      </c>
      <c r="MD45" s="936">
        <v>5.1846304536942283</v>
      </c>
      <c r="MF45" s="1004"/>
    </row>
    <row r="46" spans="2:354" ht="16.5" x14ac:dyDescent="0.3">
      <c r="IK46" s="12"/>
      <c r="IM46" s="12"/>
      <c r="JW46" s="446"/>
      <c r="JX46" s="446"/>
      <c r="JY46" s="446"/>
      <c r="JZ46" s="446"/>
      <c r="KA46" s="446"/>
      <c r="KB46" s="446"/>
      <c r="KO46" s="12"/>
      <c r="KQ46" s="12"/>
      <c r="KR46" s="12"/>
      <c r="MA46" s="12"/>
      <c r="MB46" s="938" t="s">
        <v>255</v>
      </c>
      <c r="MC46" s="978">
        <v>0.1512114027739575</v>
      </c>
      <c r="MD46" s="938"/>
      <c r="ML46" s="32"/>
    </row>
    <row r="47" spans="2:354" x14ac:dyDescent="0.25">
      <c r="IK47" s="12"/>
      <c r="IM47" s="12"/>
      <c r="JW47" s="446"/>
      <c r="JX47" s="446"/>
      <c r="JY47" s="446"/>
      <c r="JZ47" s="446"/>
      <c r="KA47" s="446"/>
      <c r="KB47" s="446"/>
      <c r="KO47" s="12"/>
      <c r="KQ47" s="12"/>
      <c r="KR47" s="12"/>
      <c r="MB47" s="12"/>
      <c r="MM47" s="411"/>
    </row>
    <row r="48" spans="2:354" x14ac:dyDescent="0.25">
      <c r="IK48" s="12"/>
      <c r="IM48" s="12"/>
      <c r="JW48" s="446"/>
      <c r="JX48" s="446"/>
      <c r="JY48" s="446"/>
      <c r="JZ48" s="446"/>
      <c r="KA48" s="446"/>
      <c r="KB48" s="446"/>
      <c r="KR48" s="12"/>
      <c r="MB48" s="190" t="s">
        <v>445</v>
      </c>
      <c r="MC48" s="1012">
        <f>MC39-MC28</f>
        <v>-97617.521194905043</v>
      </c>
      <c r="MK48" s="8"/>
      <c r="MM48" s="411"/>
    </row>
    <row r="49" spans="283:357" x14ac:dyDescent="0.25">
      <c r="JW49" s="446"/>
      <c r="JX49" s="446"/>
      <c r="JY49" s="446"/>
      <c r="JZ49" s="446"/>
      <c r="KA49" s="446"/>
      <c r="KB49" s="446"/>
      <c r="KR49" s="12"/>
      <c r="MB49" s="12"/>
      <c r="MM49" s="411"/>
    </row>
    <row r="50" spans="283:357" x14ac:dyDescent="0.25">
      <c r="JW50" s="446"/>
      <c r="JX50" s="446"/>
      <c r="KR50" s="12"/>
      <c r="LS50" s="221"/>
      <c r="LT50" s="8"/>
      <c r="LX50" s="8"/>
      <c r="LY50" s="221"/>
      <c r="LZ50" s="8"/>
      <c r="MC50" s="507"/>
      <c r="MD50" s="508"/>
      <c r="MK50" s="8"/>
      <c r="MM50" s="411"/>
      <c r="MR50" s="221"/>
      <c r="MS50" s="8"/>
    </row>
    <row r="51" spans="283:357" x14ac:dyDescent="0.25">
      <c r="KR51" s="12"/>
      <c r="LU51" s="8"/>
      <c r="LV51" s="8"/>
      <c r="LW51" s="8"/>
      <c r="MC51" s="230"/>
      <c r="MD51" s="506"/>
      <c r="MJ51" s="8"/>
    </row>
    <row r="52" spans="283:357" x14ac:dyDescent="0.25">
      <c r="KR52" s="12"/>
      <c r="LS52" s="221"/>
      <c r="LT52" s="8"/>
      <c r="LX52" s="8"/>
      <c r="LY52" s="221"/>
      <c r="LZ52" s="8"/>
      <c r="MC52" s="507"/>
      <c r="MD52" s="508"/>
      <c r="MI52" s="221"/>
      <c r="MR52" s="221"/>
      <c r="MS52" s="8"/>
    </row>
    <row r="53" spans="283:357" x14ac:dyDescent="0.25">
      <c r="KR53" s="12"/>
      <c r="LU53" s="8"/>
      <c r="LV53" s="8"/>
      <c r="LW53" s="8"/>
      <c r="MC53" s="230"/>
      <c r="MD53" s="506"/>
      <c r="MJ53" s="8"/>
    </row>
    <row r="54" spans="283:357" x14ac:dyDescent="0.25">
      <c r="KS54" s="204"/>
      <c r="MC54" s="230"/>
      <c r="MD54" s="506"/>
      <c r="MI54" s="221"/>
    </row>
  </sheetData>
  <mergeCells count="106">
    <mergeCell ref="F25:G25"/>
    <mergeCell ref="H25:J25"/>
    <mergeCell ref="K25:M25"/>
    <mergeCell ref="N25:P25"/>
    <mergeCell ref="MC34:MD34"/>
    <mergeCell ref="MC35:MD35"/>
    <mergeCell ref="BT22:BV22"/>
    <mergeCell ref="BT23:BV23"/>
    <mergeCell ref="F24:G24"/>
    <mergeCell ref="H24:J24"/>
    <mergeCell ref="K24:M24"/>
    <mergeCell ref="N24:P24"/>
    <mergeCell ref="LI3:LK3"/>
    <mergeCell ref="LL3:LN3"/>
    <mergeCell ref="LO3:LQ3"/>
    <mergeCell ref="MC4:MD4"/>
    <mergeCell ref="MF4:MG4"/>
    <mergeCell ref="AN21:CJ21"/>
    <mergeCell ref="KR3:KS3"/>
    <mergeCell ref="KT3:KU3"/>
    <mergeCell ref="KV3:KW3"/>
    <mergeCell ref="KX3:KY3"/>
    <mergeCell ref="KZ3:LA3"/>
    <mergeCell ref="LB3:LC3"/>
    <mergeCell ref="JY3:JZ3"/>
    <mergeCell ref="KA3:KB3"/>
    <mergeCell ref="KC3:KD3"/>
    <mergeCell ref="KL3:KM3"/>
    <mergeCell ref="KN3:KO3"/>
    <mergeCell ref="KP3:KQ3"/>
    <mergeCell ref="IR3:IS3"/>
    <mergeCell ref="IT3:IU3"/>
    <mergeCell ref="IV3:IW3"/>
    <mergeCell ref="IX3:IZ3"/>
    <mergeCell ref="JU3:JV3"/>
    <mergeCell ref="JW3:JX3"/>
    <mergeCell ref="HY3:HZ3"/>
    <mergeCell ref="IH3:II3"/>
    <mergeCell ref="IJ3:IK3"/>
    <mergeCell ref="IL3:IM3"/>
    <mergeCell ref="IN3:IO3"/>
    <mergeCell ref="IP3:IQ3"/>
    <mergeCell ref="GN3:GQ3"/>
    <mergeCell ref="GR3:GU3"/>
    <mergeCell ref="HQ3:HR3"/>
    <mergeCell ref="HS3:HT3"/>
    <mergeCell ref="HU3:HV3"/>
    <mergeCell ref="HW3:HX3"/>
    <mergeCell ref="EZ3:FC3"/>
    <mergeCell ref="FD3:FF3"/>
    <mergeCell ref="FM3:FP3"/>
    <mergeCell ref="FQ3:FU3"/>
    <mergeCell ref="GA3:GD3"/>
    <mergeCell ref="GE3:GH3"/>
    <mergeCell ref="DO3:DP3"/>
    <mergeCell ref="DV3:DY3"/>
    <mergeCell ref="DZ3:EC3"/>
    <mergeCell ref="EI3:EL3"/>
    <mergeCell ref="EM3:EP3"/>
    <mergeCell ref="EV3:EY3"/>
    <mergeCell ref="CI3:CJ3"/>
    <mergeCell ref="CP3:CS3"/>
    <mergeCell ref="CT3:CW3"/>
    <mergeCell ref="DC3:DD3"/>
    <mergeCell ref="DE3:DG3"/>
    <mergeCell ref="DM3:DN3"/>
    <mergeCell ref="BP3:BR3"/>
    <mergeCell ref="BT3:BV3"/>
    <mergeCell ref="BW3:BY3"/>
    <mergeCell ref="BZ3:CB3"/>
    <mergeCell ref="CC3:CE3"/>
    <mergeCell ref="CF3:CH3"/>
    <mergeCell ref="AS3:AT3"/>
    <mergeCell ref="AV3:AX3"/>
    <mergeCell ref="AZ3:BB3"/>
    <mergeCell ref="BD3:BF3"/>
    <mergeCell ref="BH3:BJ3"/>
    <mergeCell ref="BL3:BN3"/>
    <mergeCell ref="KH1:LC2"/>
    <mergeCell ref="LG1:LQ2"/>
    <mergeCell ref="LU1:LW2"/>
    <mergeCell ref="MA1:MG2"/>
    <mergeCell ref="MK1:MP2"/>
    <mergeCell ref="F3:G3"/>
    <mergeCell ref="H3:J3"/>
    <mergeCell ref="K3:M3"/>
    <mergeCell ref="N3:P3"/>
    <mergeCell ref="Q3:R3"/>
    <mergeCell ref="GK1:GV1"/>
    <mergeCell ref="GY1:HJ2"/>
    <mergeCell ref="HN1:HZ2"/>
    <mergeCell ref="ID1:IZ2"/>
    <mergeCell ref="JD1:JM2"/>
    <mergeCell ref="JQ1:KD2"/>
    <mergeCell ref="DJ1:DQ1"/>
    <mergeCell ref="DS1:ED1"/>
    <mergeCell ref="EG1:EP1"/>
    <mergeCell ref="ET1:FF1"/>
    <mergeCell ref="FI1:FV1"/>
    <mergeCell ref="FX1:GI1"/>
    <mergeCell ref="A1:R1"/>
    <mergeCell ref="W1:AA1"/>
    <mergeCell ref="AF1:AJ1"/>
    <mergeCell ref="AM1:CJ1"/>
    <mergeCell ref="CM1:CX1"/>
    <mergeCell ref="CZ1:DH1"/>
  </mergeCells>
  <conditionalFormatting sqref="AM3:CK4 KU29:LC30 KR29:KT53 KM30:KQ30">
    <cfRule type="cellIs" dxfId="103" priority="6" operator="lessThan">
      <formula>0</formula>
    </cfRule>
  </conditionalFormatting>
  <conditionalFormatting sqref="AN7:AP20">
    <cfRule type="cellIs" dxfId="102" priority="20" operator="lessThan">
      <formula>0</formula>
    </cfRule>
  </conditionalFormatting>
  <conditionalFormatting sqref="AN22:BT23">
    <cfRule type="cellIs" dxfId="101" priority="4" operator="lessThan">
      <formula>0</formula>
    </cfRule>
  </conditionalFormatting>
  <conditionalFormatting sqref="BW7:CJ20">
    <cfRule type="cellIs" dxfId="100" priority="9" operator="lessThan">
      <formula>0</formula>
    </cfRule>
  </conditionalFormatting>
  <conditionalFormatting sqref="BZ22:CA23">
    <cfRule type="cellIs" dxfId="99" priority="3" operator="lessThan">
      <formula>0</formula>
    </cfRule>
  </conditionalFormatting>
  <conditionalFormatting sqref="CC22:CJ23">
    <cfRule type="cellIs" dxfId="98" priority="1" operator="lessThan">
      <formula>0</formula>
    </cfRule>
  </conditionalFormatting>
  <conditionalFormatting sqref="CK1:CL1 JC1:JD1 JQ1 KE1:KH1 LD1:LE1 LG1 AM1:AM2 JN1:JP2 AO2:AR2 BW2:CK2 JC2 LD2 KE2:KG27 CL2:CL1048576 LE2:LE1048576 JC3:JS3 JU3 JW3 JY3 KL3:KR3 KT3 KX3:LD3 KJ3:KK4 JC4 JE4:JO4 KL4:LD4 JQ4:JT27 JP4:JP28 AN5:AR5 BW5:CJ5 CK5:CK24 KH5:KI27 AM5:AM1048576 AN6:CJ6 JM6:JO26 JC6:JL27 AQ7:BT10 BU7:BV11 KX7:LD28 AQ11:BO11 BQ11:BT11 AQ12:BV20 AH19:AJ19 AN26:CK1048576 JV27 JX27 JZ27:KB27 JO27:JO32 JM27:JN1048576 JC28:JH28 JJ28:JL28 LF28:LF37 JP29:JU29 JW29:KG29 KI29:KQ29 JC29:JL1048576 LD29:LD1048576 KI30:KK30 JP30:JP32 KE30:KG32 JO34:JP35 KE34:KG35 JO36:JU50 JW36:KG50 LF38:LQ1048576 KH48:KQ53 KU48:LC53 JO51:KG1048576 KH54:KR54 KT54:LC54 KH55:LC1048576">
    <cfRule type="cellIs" dxfId="97" priority="26" operator="lessThan">
      <formula>0</formula>
    </cfRule>
  </conditionalFormatting>
  <conditionalFormatting sqref="HF4 HF6:HF25">
    <cfRule type="cellIs" dxfId="96" priority="25" operator="lessThan">
      <formula>0</formula>
    </cfRule>
  </conditionalFormatting>
  <conditionalFormatting sqref="IF4">
    <cfRule type="cellIs" dxfId="95" priority="23" operator="lessThan">
      <formula>0</formula>
    </cfRule>
  </conditionalFormatting>
  <conditionalFormatting sqref="JC5:JO5">
    <cfRule type="cellIs" dxfId="94" priority="12" operator="lessThan">
      <formula>0</formula>
    </cfRule>
  </conditionalFormatting>
  <conditionalFormatting sqref="JU4:KD26">
    <cfRule type="cellIs" dxfId="93" priority="2" operator="lessThan">
      <formula>0</formula>
    </cfRule>
  </conditionalFormatting>
  <conditionalFormatting sqref="KC3">
    <cfRule type="cellIs" dxfId="92" priority="21" operator="lessThan">
      <formula>0</formula>
    </cfRule>
  </conditionalFormatting>
  <conditionalFormatting sqref="KC28:KW28">
    <cfRule type="cellIs" dxfId="91" priority="11" operator="lessThan">
      <formula>0</formula>
    </cfRule>
  </conditionalFormatting>
  <conditionalFormatting sqref="KD27">
    <cfRule type="cellIs" dxfId="90" priority="13" operator="lessThan">
      <formula>0</formula>
    </cfRule>
  </conditionalFormatting>
  <conditionalFormatting sqref="KH3:KI3 KI4">
    <cfRule type="cellIs" dxfId="89" priority="22" operator="lessThan">
      <formula>0</formula>
    </cfRule>
  </conditionalFormatting>
  <conditionalFormatting sqref="KJ7:KW27">
    <cfRule type="cellIs" dxfId="88" priority="10" operator="lessThan">
      <formula>0</formula>
    </cfRule>
  </conditionalFormatting>
  <conditionalFormatting sqref="KJ5:LD6">
    <cfRule type="cellIs" dxfId="87" priority="24" operator="lessThan">
      <formula>0</formula>
    </cfRule>
  </conditionalFormatting>
  <conditionalFormatting sqref="LF2">
    <cfRule type="cellIs" dxfId="86" priority="5" operator="lessThan">
      <formula>0</formula>
    </cfRule>
  </conditionalFormatting>
  <conditionalFormatting sqref="LI3:LI4">
    <cfRule type="cellIs" dxfId="85" priority="19" operator="lessThan">
      <formula>0</formula>
    </cfRule>
  </conditionalFormatting>
  <conditionalFormatting sqref="LJ4:LK4">
    <cfRule type="cellIs" dxfId="84" priority="18" operator="lessThan">
      <formula>0</formula>
    </cfRule>
  </conditionalFormatting>
  <conditionalFormatting sqref="LL3:LL4">
    <cfRule type="cellIs" dxfId="83" priority="17" operator="lessThan">
      <formula>0</formula>
    </cfRule>
  </conditionalFormatting>
  <conditionalFormatting sqref="LM4:LN4">
    <cfRule type="cellIs" dxfId="82" priority="16" operator="lessThan">
      <formula>0</formula>
    </cfRule>
  </conditionalFormatting>
  <conditionalFormatting sqref="LO3:LO4">
    <cfRule type="cellIs" dxfId="81" priority="15" operator="lessThan">
      <formula>0</formula>
    </cfRule>
  </conditionalFormatting>
  <conditionalFormatting sqref="LP4:LQ4">
    <cfRule type="cellIs" dxfId="80" priority="14" operator="lessThan">
      <formula>0</formula>
    </cfRule>
  </conditionalFormatting>
  <conditionalFormatting sqref="LU1">
    <cfRule type="cellIs" dxfId="79" priority="8" operator="lessThan">
      <formula>0</formula>
    </cfRule>
  </conditionalFormatting>
  <conditionalFormatting sqref="LU4:LW4">
    <cfRule type="cellIs" dxfId="78" priority="7" operator="lessThan">
      <formula>0</formula>
    </cfRule>
  </conditionalFormatting>
  <pageMargins left="0.7" right="0.7" top="0.75" bottom="0.75" header="0.3" footer="0.3"/>
  <pageSetup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BE12-8490-484A-9727-432B6AF037B2}">
  <sheetPr>
    <tabColor theme="3" tint="0.39997558519241921"/>
    <pageSetUpPr autoPageBreaks="0"/>
  </sheetPr>
  <dimension ref="A1:KF50"/>
  <sheetViews>
    <sheetView topLeftCell="JG1" zoomScale="90" zoomScaleNormal="90" workbookViewId="0">
      <selection activeCell="L32" sqref="L32"/>
    </sheetView>
  </sheetViews>
  <sheetFormatPr defaultColWidth="9.85546875" defaultRowHeight="15" x14ac:dyDescent="0.25"/>
  <cols>
    <col min="1" max="1" width="8.42578125" style="12" customWidth="1"/>
    <col min="2" max="2" width="35.7109375" style="12" customWidth="1"/>
    <col min="3" max="3" width="23.42578125" style="12" customWidth="1"/>
    <col min="4" max="4" width="20.7109375" style="12" customWidth="1"/>
    <col min="5" max="5" width="20.42578125" style="12" customWidth="1"/>
    <col min="6" max="6" width="3.85546875" style="12" customWidth="1"/>
    <col min="7" max="7" width="3.85546875" style="528" customWidth="1"/>
    <col min="8" max="9" width="3.85546875" style="12" customWidth="1"/>
    <col min="10" max="10" width="11.140625" style="12" customWidth="1"/>
    <col min="11" max="11" width="36" style="12" customWidth="1"/>
    <col min="12" max="12" width="19.85546875" style="12" customWidth="1"/>
    <col min="13" max="15" width="13.7109375" style="12" customWidth="1"/>
    <col min="16" max="16" width="16.85546875" style="12" customWidth="1"/>
    <col min="17" max="17" width="14.28515625" style="12" customWidth="1"/>
    <col min="18" max="18" width="3.85546875" style="12" customWidth="1"/>
    <col min="19" max="19" width="3.85546875" style="528" customWidth="1"/>
    <col min="20" max="21" width="3.85546875" style="12" customWidth="1"/>
    <col min="22" max="22" width="10.7109375" style="12" customWidth="1"/>
    <col min="23" max="23" width="33.42578125" style="12" bestFit="1" customWidth="1"/>
    <col min="24" max="24" width="17.42578125" style="12" customWidth="1"/>
    <col min="25" max="25" width="10.85546875" style="12" customWidth="1"/>
    <col min="26" max="26" width="3.85546875" style="12" customWidth="1"/>
    <col min="27" max="27" width="3.85546875" style="528" customWidth="1"/>
    <col min="28" max="28" width="3.85546875" style="12" customWidth="1"/>
    <col min="29" max="30" width="9.42578125" style="12" customWidth="1"/>
    <col min="31" max="31" width="36.5703125" style="12" customWidth="1"/>
    <col min="32" max="32" width="15.85546875" style="12" customWidth="1"/>
    <col min="33" max="33" width="3.85546875" style="12" customWidth="1"/>
    <col min="34" max="34" width="3.85546875" style="528" customWidth="1"/>
    <col min="35" max="35" width="3.85546875" style="12" customWidth="1"/>
    <col min="36" max="36" width="4.85546875" style="12" customWidth="1"/>
    <col min="37" max="37" width="62.28515625" style="12" customWidth="1"/>
    <col min="38" max="38" width="12.5703125" style="12" customWidth="1"/>
    <col min="39" max="39" width="3.85546875" style="12" customWidth="1"/>
    <col min="40" max="40" width="3.85546875" style="528" customWidth="1"/>
    <col min="41" max="41" width="3.85546875" style="12" customWidth="1"/>
    <col min="42" max="42" width="5" style="12" customWidth="1"/>
    <col min="43" max="43" width="10.42578125" style="12" customWidth="1"/>
    <col min="44" max="44" width="29.140625" style="12" customWidth="1"/>
    <col min="45" max="45" width="15.85546875" style="12" customWidth="1"/>
    <col min="46" max="46" width="15.140625" style="12" bestFit="1" customWidth="1"/>
    <col min="47" max="47" width="20" style="12" bestFit="1" customWidth="1"/>
    <col min="48" max="48" width="18.28515625" style="12" bestFit="1" customWidth="1"/>
    <col min="49" max="49" width="15.140625" style="12" bestFit="1" customWidth="1"/>
    <col min="50" max="50" width="19.42578125" style="12" customWidth="1"/>
    <col min="51" max="51" width="18.5703125" style="12" hidden="1" customWidth="1"/>
    <col min="52" max="52" width="14.85546875" style="12" hidden="1" customWidth="1"/>
    <col min="53" max="53" width="3.85546875" style="12" customWidth="1"/>
    <col min="54" max="54" width="3.85546875" style="528" customWidth="1"/>
    <col min="55" max="55" width="3.85546875" style="12" customWidth="1"/>
    <col min="56" max="56" width="4.42578125" style="12" bestFit="1" customWidth="1"/>
    <col min="57" max="57" width="34.42578125" style="12" bestFit="1" customWidth="1"/>
    <col min="58" max="58" width="12.5703125" style="12" bestFit="1" customWidth="1"/>
    <col min="59" max="59" width="14.28515625" style="12" bestFit="1" customWidth="1"/>
    <col min="60" max="60" width="3.85546875" style="12" customWidth="1"/>
    <col min="61" max="61" width="3.85546875" style="528" customWidth="1"/>
    <col min="62" max="62" width="3.85546875" style="12" customWidth="1"/>
    <col min="63" max="63" width="5.42578125" style="12" customWidth="1"/>
    <col min="64" max="64" width="11.140625" style="12" customWidth="1"/>
    <col min="65" max="65" width="36.5703125" style="12" customWidth="1"/>
    <col min="66" max="66" width="17.5703125" style="12" customWidth="1"/>
    <col min="67" max="67" width="19.5703125" style="12" customWidth="1"/>
    <col min="68" max="71" width="15.85546875" style="12" customWidth="1"/>
    <col min="72" max="72" width="3.85546875" style="12" customWidth="1"/>
    <col min="73" max="73" width="3.85546875" style="528" customWidth="1"/>
    <col min="74" max="74" width="3.85546875" style="12" customWidth="1"/>
    <col min="75" max="75" width="4.7109375" style="12" customWidth="1"/>
    <col min="76" max="76" width="18" style="12" bestFit="1" customWidth="1"/>
    <col min="77" max="77" width="13.7109375" style="12" customWidth="1"/>
    <col min="78" max="78" width="14.140625" style="12" customWidth="1"/>
    <col min="79" max="82" width="14.85546875" style="12" customWidth="1"/>
    <col min="83" max="83" width="3.85546875" style="12" customWidth="1"/>
    <col min="84" max="84" width="3.85546875" style="528" customWidth="1"/>
    <col min="85" max="85" width="3.85546875" style="12" customWidth="1"/>
    <col min="86" max="86" width="4.7109375" style="12" customWidth="1"/>
    <col min="87" max="87" width="10.42578125" style="60" customWidth="1"/>
    <col min="88" max="88" width="33.85546875" style="12" customWidth="1"/>
    <col min="89" max="95" width="15.42578125" style="12" customWidth="1"/>
    <col min="96" max="96" width="3.85546875" style="12" customWidth="1"/>
    <col min="97" max="97" width="3.85546875" style="528" customWidth="1"/>
    <col min="98" max="98" width="3.85546875" style="12" customWidth="1"/>
    <col min="99" max="99" width="4.42578125" style="12" customWidth="1"/>
    <col min="100" max="100" width="28.5703125" style="12" bestFit="1" customWidth="1"/>
    <col min="101" max="104" width="12.5703125" style="12" customWidth="1"/>
    <col min="105" max="105" width="15.85546875" style="12" customWidth="1"/>
    <col min="106" max="107" width="19.140625" style="12" customWidth="1"/>
    <col min="108" max="108" width="3.85546875" style="12" customWidth="1"/>
    <col min="109" max="109" width="3.85546875" style="528" customWidth="1"/>
    <col min="110" max="110" width="3.85546875" style="12" customWidth="1"/>
    <col min="111" max="111" width="5.5703125" style="12" customWidth="1"/>
    <col min="112" max="112" width="10.85546875" style="12" customWidth="1"/>
    <col min="113" max="113" width="32.85546875" style="12" customWidth="1"/>
    <col min="114" max="114" width="12.5703125" style="12" customWidth="1"/>
    <col min="115" max="115" width="14.85546875" style="12" customWidth="1"/>
    <col min="116" max="116" width="15.85546875" style="12" customWidth="1"/>
    <col min="117" max="117" width="14.85546875" style="12" customWidth="1"/>
    <col min="118" max="118" width="12.5703125" style="12" customWidth="1"/>
    <col min="119" max="119" width="14.85546875" style="12" customWidth="1"/>
    <col min="120" max="120" width="15.85546875" style="12" customWidth="1"/>
    <col min="121" max="121" width="12.5703125" style="12" customWidth="1"/>
    <col min="122" max="122" width="14.7109375" style="12" customWidth="1"/>
    <col min="123" max="123" width="3.85546875" style="12" customWidth="1"/>
    <col min="124" max="124" width="3.85546875" style="528" customWidth="1"/>
    <col min="125" max="125" width="3.85546875" style="12" customWidth="1"/>
    <col min="126" max="126" width="5.85546875" style="12" customWidth="1"/>
    <col min="127" max="127" width="10.5703125" style="12" customWidth="1"/>
    <col min="128" max="128" width="36.140625" style="12" customWidth="1"/>
    <col min="129" max="129" width="15.85546875" style="12" customWidth="1"/>
    <col min="130" max="130" width="15.28515625" style="12" customWidth="1"/>
    <col min="131" max="131" width="14.7109375" style="12" customWidth="1"/>
    <col min="132" max="132" width="3.85546875" style="12" customWidth="1"/>
    <col min="133" max="133" width="3.85546875" style="528" customWidth="1"/>
    <col min="134" max="134" width="3.85546875" style="12" customWidth="1"/>
    <col min="135" max="135" width="4.42578125" style="12" customWidth="1"/>
    <col min="136" max="137" width="13.7109375" style="12" customWidth="1"/>
    <col min="138" max="138" width="12.5703125" style="12" customWidth="1"/>
    <col min="139" max="139" width="14.140625" style="12" customWidth="1"/>
    <col min="140" max="140" width="3.85546875" style="12" customWidth="1"/>
    <col min="141" max="141" width="3.85546875" style="528" customWidth="1"/>
    <col min="142" max="142" width="3.85546875" style="12" customWidth="1"/>
    <col min="143" max="143" width="5.42578125" style="12" customWidth="1"/>
    <col min="144" max="144" width="11.140625" style="12" customWidth="1"/>
    <col min="145" max="145" width="32.85546875" style="12" customWidth="1"/>
    <col min="146" max="146" width="13.7109375" style="12" customWidth="1"/>
    <col min="147" max="147" width="14.85546875" style="12" bestFit="1" customWidth="1"/>
    <col min="148" max="151" width="13.7109375" style="12" customWidth="1"/>
    <col min="152" max="152" width="14.85546875" style="12" customWidth="1"/>
    <col min="153" max="154" width="13.7109375" style="12" customWidth="1"/>
    <col min="155" max="155" width="3.85546875" style="12" customWidth="1"/>
    <col min="156" max="156" width="3.85546875" style="528" customWidth="1"/>
    <col min="157" max="157" width="3.85546875" style="12" customWidth="1"/>
    <col min="158" max="158" width="5" style="12" customWidth="1"/>
    <col min="159" max="159" width="31.7109375" style="12" customWidth="1"/>
    <col min="160" max="160" width="20.28515625" style="12" customWidth="1"/>
    <col min="161" max="161" width="3.85546875" style="12" customWidth="1"/>
    <col min="162" max="162" width="3.85546875" style="528" customWidth="1"/>
    <col min="163" max="163" width="3.85546875" style="12" customWidth="1"/>
    <col min="164" max="164" width="5.140625" style="12" customWidth="1"/>
    <col min="165" max="165" width="10.85546875" style="12" customWidth="1"/>
    <col min="166" max="166" width="38.140625" style="12" customWidth="1"/>
    <col min="167" max="167" width="11.5703125" style="12" customWidth="1"/>
    <col min="168" max="168" width="19.140625" style="12" customWidth="1"/>
    <col min="169" max="169" width="14.85546875" style="12" customWidth="1"/>
    <col min="170" max="170" width="3.85546875" style="12" customWidth="1"/>
    <col min="171" max="171" width="3.85546875" style="528" customWidth="1"/>
    <col min="172" max="172" width="3.85546875" style="12" customWidth="1"/>
    <col min="173" max="173" width="5.42578125" style="12" customWidth="1"/>
    <col min="174" max="174" width="10.140625" style="12" customWidth="1"/>
    <col min="175" max="175" width="36" style="12" customWidth="1"/>
    <col min="176" max="176" width="16.42578125" style="12" bestFit="1" customWidth="1"/>
    <col min="177" max="177" width="15.85546875" style="12" bestFit="1" customWidth="1"/>
    <col min="178" max="178" width="15.42578125" style="12" bestFit="1" customWidth="1"/>
    <col min="179" max="179" width="14.85546875" style="12" bestFit="1" customWidth="1"/>
    <col min="180" max="180" width="14.28515625" style="12" bestFit="1" customWidth="1"/>
    <col min="181" max="181" width="15.42578125" style="12" bestFit="1" customWidth="1"/>
    <col min="182" max="182" width="15.85546875" style="12" bestFit="1" customWidth="1"/>
    <col min="183" max="183" width="17" style="12" bestFit="1" customWidth="1"/>
    <col min="184" max="184" width="14.7109375" style="12" customWidth="1"/>
    <col min="185" max="185" width="2.85546875" style="12" customWidth="1"/>
    <col min="186" max="186" width="3.85546875" style="528" customWidth="1"/>
    <col min="187" max="187" width="3.85546875" style="12" customWidth="1"/>
    <col min="188" max="188" width="5.140625" style="12" customWidth="1"/>
    <col min="189" max="189" width="10.42578125" style="12" customWidth="1"/>
    <col min="190" max="190" width="36" style="12" customWidth="1"/>
    <col min="191" max="191" width="17.140625" style="12" customWidth="1"/>
    <col min="192" max="196" width="15.85546875" style="12" customWidth="1"/>
    <col min="197" max="197" width="23.7109375" style="12" customWidth="1"/>
    <col min="198" max="198" width="15.85546875" style="12" customWidth="1"/>
    <col min="199" max="199" width="19.140625" style="12" bestFit="1" customWidth="1"/>
    <col min="200" max="200" width="4.42578125" style="12" customWidth="1"/>
    <col min="201" max="201" width="3.85546875" style="528" customWidth="1"/>
    <col min="202" max="202" width="3.85546875" style="12" customWidth="1"/>
    <col min="203" max="203" width="5.7109375" style="12" customWidth="1"/>
    <col min="204" max="204" width="10.5703125" style="12" customWidth="1"/>
    <col min="205" max="205" width="33.28515625" style="12" customWidth="1"/>
    <col min="206" max="206" width="15.42578125" style="12" customWidth="1"/>
    <col min="207" max="207" width="17" style="12" bestFit="1" customWidth="1"/>
    <col min="208" max="208" width="19.140625" style="12" customWidth="1"/>
    <col min="209" max="209" width="14.85546875" style="12" customWidth="1"/>
    <col min="210" max="210" width="17" style="12" bestFit="1" customWidth="1"/>
    <col min="211" max="211" width="17" style="12" customWidth="1"/>
    <col min="212" max="212" width="2.85546875" style="12" customWidth="1"/>
    <col min="213" max="213" width="3.85546875" style="528" customWidth="1"/>
    <col min="214" max="214" width="3.85546875" style="12" customWidth="1"/>
    <col min="215" max="215" width="5.5703125" style="12" customWidth="1"/>
    <col min="216" max="216" width="14.85546875" style="12" customWidth="1"/>
    <col min="217" max="217" width="16.85546875" style="12" bestFit="1" customWidth="1"/>
    <col min="218" max="218" width="14.85546875" style="12" customWidth="1"/>
    <col min="219" max="219" width="16.85546875" style="12" bestFit="1" customWidth="1"/>
    <col min="220" max="220" width="13.7109375" style="12" customWidth="1"/>
    <col min="221" max="221" width="2.85546875" style="12" customWidth="1"/>
    <col min="222" max="222" width="3.85546875" style="528" customWidth="1"/>
    <col min="223" max="223" width="3.85546875" style="12" customWidth="1"/>
    <col min="224" max="224" width="7.140625" style="12" customWidth="1"/>
    <col min="225" max="225" width="9.85546875" style="12" customWidth="1"/>
    <col min="226" max="226" width="31.140625" style="12" bestFit="1" customWidth="1"/>
    <col min="227" max="227" width="15.5703125" style="12" customWidth="1"/>
    <col min="228" max="228" width="20.85546875" style="12" customWidth="1"/>
    <col min="229" max="229" width="22.140625" style="12" customWidth="1"/>
    <col min="230" max="230" width="11" style="12" customWidth="1"/>
    <col min="231" max="231" width="10.42578125" style="12" customWidth="1"/>
    <col min="232" max="232" width="15.85546875" style="12" customWidth="1"/>
    <col min="233" max="233" width="3.85546875" style="12" customWidth="1"/>
    <col min="234" max="234" width="3.85546875" style="528" customWidth="1"/>
    <col min="235" max="235" width="3.85546875" style="12" customWidth="1"/>
    <col min="236" max="237" width="13.42578125" style="12" bestFit="1" customWidth="1"/>
    <col min="238" max="238" width="16.42578125" style="12" bestFit="1" customWidth="1"/>
    <col min="239" max="239" width="9.85546875" style="12" bestFit="1" customWidth="1"/>
    <col min="240" max="240" width="21.85546875" style="12" bestFit="1" customWidth="1"/>
    <col min="241" max="241" width="13.42578125" style="12" bestFit="1" customWidth="1"/>
    <col min="242" max="242" width="12.5703125" style="12" bestFit="1" customWidth="1"/>
    <col min="243" max="243" width="21.5703125" style="12" customWidth="1"/>
    <col min="244" max="244" width="12.42578125" style="12" bestFit="1" customWidth="1"/>
    <col min="245" max="245" width="11.28515625" style="12" bestFit="1" customWidth="1"/>
    <col min="246" max="246" width="13.140625" style="12" bestFit="1" customWidth="1"/>
    <col min="247" max="247" width="3.85546875" style="528" customWidth="1"/>
    <col min="248" max="248" width="13.7109375" style="12" bestFit="1" customWidth="1"/>
    <col min="249" max="249" width="4.42578125" style="12" bestFit="1" customWidth="1"/>
    <col min="250" max="250" width="9" style="12" bestFit="1" customWidth="1"/>
    <col min="251" max="251" width="32.5703125" style="12" customWidth="1"/>
    <col min="252" max="252" width="17.140625" style="12" customWidth="1"/>
    <col min="253" max="253" width="16.42578125" style="12" customWidth="1"/>
    <col min="254" max="255" width="18.85546875" style="12" customWidth="1"/>
    <col min="256" max="256" width="21.28515625" style="12" customWidth="1"/>
    <col min="257" max="257" width="20.42578125" style="12" customWidth="1"/>
    <col min="258" max="258" width="20" style="12" customWidth="1"/>
    <col min="259" max="259" width="15.28515625" style="12" customWidth="1"/>
    <col min="260" max="260" width="13.85546875" style="12" customWidth="1"/>
    <col min="261" max="261" width="16.85546875" style="12" customWidth="1"/>
    <col min="262" max="262" width="9.5703125" style="12" customWidth="1"/>
    <col min="263" max="263" width="9.85546875" style="12"/>
    <col min="264" max="264" width="3.85546875" style="528" customWidth="1"/>
    <col min="265" max="265" width="9.85546875" style="12"/>
    <col min="266" max="266" width="11" style="12" bestFit="1" customWidth="1"/>
    <col min="267" max="267" width="9.42578125" style="12" bestFit="1" customWidth="1"/>
    <col min="268" max="268" width="32.28515625" style="12" customWidth="1"/>
    <col min="269" max="269" width="18" style="12" customWidth="1"/>
    <col min="270" max="270" width="19.42578125" style="12" customWidth="1"/>
    <col min="271" max="271" width="15.5703125" style="12" bestFit="1" customWidth="1"/>
    <col min="272" max="272" width="8.28515625" style="12" bestFit="1" customWidth="1"/>
    <col min="273" max="273" width="11.85546875" style="12" customWidth="1"/>
    <col min="274" max="274" width="13.7109375" style="12" customWidth="1"/>
    <col min="275" max="276" width="9.85546875" style="12"/>
    <col min="277" max="277" width="3.85546875" style="528" customWidth="1"/>
    <col min="279" max="279" width="13.85546875" customWidth="1"/>
    <col min="280" max="280" width="11.7109375" customWidth="1"/>
    <col min="281" max="281" width="14" bestFit="1" customWidth="1"/>
    <col min="282" max="282" width="11.7109375" customWidth="1"/>
    <col min="284" max="284" width="14.140625" bestFit="1" customWidth="1"/>
    <col min="285" max="285" width="13.28515625" bestFit="1" customWidth="1"/>
    <col min="287" max="287" width="17" customWidth="1"/>
    <col min="288" max="288" width="12.28515625" customWidth="1"/>
    <col min="291" max="291" width="20.85546875" customWidth="1"/>
    <col min="292" max="292" width="13.28515625" bestFit="1" customWidth="1"/>
  </cols>
  <sheetData>
    <row r="1" spans="1:292" s="516" customFormat="1" ht="16.5" x14ac:dyDescent="0.3">
      <c r="A1" s="1063" t="s">
        <v>258</v>
      </c>
      <c r="B1" s="1063"/>
      <c r="C1" s="1063"/>
      <c r="D1" s="1063"/>
      <c r="E1" s="1063"/>
      <c r="F1" s="510"/>
      <c r="G1" s="511"/>
      <c r="H1" s="510"/>
      <c r="I1" s="1064" t="s">
        <v>259</v>
      </c>
      <c r="J1" s="1064"/>
      <c r="K1" s="1064"/>
      <c r="L1" s="1064"/>
      <c r="M1" s="1064"/>
      <c r="N1" s="1064"/>
      <c r="O1" s="1064"/>
      <c r="P1" s="1064"/>
      <c r="Q1" s="1064"/>
      <c r="R1" s="510"/>
      <c r="S1" s="511"/>
      <c r="T1" s="510"/>
      <c r="U1" s="1064" t="s">
        <v>260</v>
      </c>
      <c r="V1" s="1064"/>
      <c r="W1" s="1064"/>
      <c r="X1" s="1064"/>
      <c r="Y1" s="1064"/>
      <c r="Z1" s="510"/>
      <c r="AA1" s="511"/>
      <c r="AB1" s="510"/>
      <c r="AC1" s="1063" t="s">
        <v>261</v>
      </c>
      <c r="AD1" s="1063"/>
      <c r="AE1" s="1063"/>
      <c r="AF1" s="1063"/>
      <c r="AG1" s="512"/>
      <c r="AH1" s="511"/>
      <c r="AI1" s="510"/>
      <c r="AJ1" s="1065" t="s">
        <v>262</v>
      </c>
      <c r="AK1" s="1065"/>
      <c r="AL1" s="1065"/>
      <c r="AM1" s="5"/>
      <c r="AN1" s="513"/>
      <c r="AO1" s="5"/>
      <c r="AP1" s="1066" t="s">
        <v>263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510"/>
      <c r="BB1" s="511"/>
      <c r="BC1" s="510"/>
      <c r="BD1" s="1065" t="s">
        <v>264</v>
      </c>
      <c r="BE1" s="1065"/>
      <c r="BF1" s="1065"/>
      <c r="BG1" s="1065"/>
      <c r="BH1" s="510"/>
      <c r="BI1" s="511"/>
      <c r="BJ1" s="510"/>
      <c r="BK1" s="1067" t="s">
        <v>265</v>
      </c>
      <c r="BL1" s="1067"/>
      <c r="BM1" s="1067"/>
      <c r="BN1" s="1067"/>
      <c r="BO1" s="1067"/>
      <c r="BP1" s="1067"/>
      <c r="BQ1" s="1067"/>
      <c r="BR1" s="1067"/>
      <c r="BS1" s="1067"/>
      <c r="BT1" s="510"/>
      <c r="BU1" s="511"/>
      <c r="BV1" s="510"/>
      <c r="BW1" s="1064" t="s">
        <v>266</v>
      </c>
      <c r="BX1" s="1064"/>
      <c r="BY1" s="1064"/>
      <c r="BZ1" s="1064"/>
      <c r="CA1" s="1064"/>
      <c r="CB1" s="1064"/>
      <c r="CC1" s="1064"/>
      <c r="CD1" s="1064"/>
      <c r="CE1" s="510"/>
      <c r="CF1" s="511"/>
      <c r="CG1" s="510"/>
      <c r="CH1" s="1064" t="s">
        <v>267</v>
      </c>
      <c r="CI1" s="1064"/>
      <c r="CJ1" s="1064"/>
      <c r="CK1" s="1064"/>
      <c r="CL1" s="1064"/>
      <c r="CM1" s="1064"/>
      <c r="CN1" s="1064"/>
      <c r="CO1" s="1064"/>
      <c r="CP1" s="1064"/>
      <c r="CQ1" s="1064"/>
      <c r="CR1" s="510"/>
      <c r="CS1" s="511"/>
      <c r="CT1" s="510"/>
      <c r="CU1" s="1064" t="s">
        <v>268</v>
      </c>
      <c r="CV1" s="1064"/>
      <c r="CW1" s="1064"/>
      <c r="CX1" s="1064"/>
      <c r="CY1" s="1064"/>
      <c r="CZ1" s="1064"/>
      <c r="DA1" s="1064"/>
      <c r="DB1" s="1064"/>
      <c r="DC1" s="1064"/>
      <c r="DD1" s="510"/>
      <c r="DE1" s="511"/>
      <c r="DF1" s="510"/>
      <c r="DG1" s="1062" t="s">
        <v>269</v>
      </c>
      <c r="DH1" s="1062"/>
      <c r="DI1" s="1062"/>
      <c r="DJ1" s="1062"/>
      <c r="DK1" s="1062"/>
      <c r="DL1" s="1062"/>
      <c r="DM1" s="1062"/>
      <c r="DN1" s="1062"/>
      <c r="DO1" s="1062"/>
      <c r="DP1" s="1062"/>
      <c r="DQ1" s="1062"/>
      <c r="DR1" s="1062"/>
      <c r="DS1" s="510"/>
      <c r="DT1" s="511"/>
      <c r="DU1" s="510"/>
      <c r="DV1" s="1062" t="s">
        <v>270</v>
      </c>
      <c r="DW1" s="1062"/>
      <c r="DX1" s="1062"/>
      <c r="DY1" s="1062"/>
      <c r="DZ1" s="1062"/>
      <c r="EA1" s="1062"/>
      <c r="EB1" s="510"/>
      <c r="EC1" s="511"/>
      <c r="ED1" s="510"/>
      <c r="EE1" s="1063" t="s">
        <v>271</v>
      </c>
      <c r="EF1" s="1063"/>
      <c r="EG1" s="1063"/>
      <c r="EH1" s="1063"/>
      <c r="EI1" s="1063"/>
      <c r="EJ1" s="510"/>
      <c r="EK1" s="511"/>
      <c r="EL1" s="510"/>
      <c r="EM1" s="1062" t="s">
        <v>272</v>
      </c>
      <c r="EN1" s="1062"/>
      <c r="EO1" s="1062"/>
      <c r="EP1" s="1062"/>
      <c r="EQ1" s="1062"/>
      <c r="ER1" s="1062"/>
      <c r="ES1" s="1062"/>
      <c r="ET1" s="1062"/>
      <c r="EU1" s="1062"/>
      <c r="EV1" s="1062"/>
      <c r="EW1" s="1062"/>
      <c r="EX1" s="1062"/>
      <c r="EY1" s="510"/>
      <c r="EZ1" s="511"/>
      <c r="FA1" s="510"/>
      <c r="FB1" s="1063" t="s">
        <v>273</v>
      </c>
      <c r="FC1" s="1063"/>
      <c r="FD1" s="1063"/>
      <c r="FE1" s="510"/>
      <c r="FF1" s="511"/>
      <c r="FG1" s="510"/>
      <c r="FH1" s="1062" t="s">
        <v>274</v>
      </c>
      <c r="FI1" s="1062"/>
      <c r="FJ1" s="1062"/>
      <c r="FK1" s="1062"/>
      <c r="FL1" s="1062"/>
      <c r="FM1" s="1062"/>
      <c r="FN1" s="510"/>
      <c r="FO1" s="513"/>
      <c r="FP1" s="5"/>
      <c r="FQ1" s="1064" t="s">
        <v>275</v>
      </c>
      <c r="FR1" s="1064"/>
      <c r="FS1" s="1064"/>
      <c r="FT1" s="1064"/>
      <c r="FU1" s="1064"/>
      <c r="FV1" s="1064"/>
      <c r="FW1" s="1064"/>
      <c r="FX1" s="1064"/>
      <c r="FY1" s="1064"/>
      <c r="FZ1" s="1064"/>
      <c r="GA1" s="1064"/>
      <c r="GB1" s="1064"/>
      <c r="GC1" s="509"/>
      <c r="GD1" s="513"/>
      <c r="GE1" s="5"/>
      <c r="GF1" s="1066" t="s">
        <v>276</v>
      </c>
      <c r="GG1" s="1066"/>
      <c r="GH1" s="1066"/>
      <c r="GI1" s="1066"/>
      <c r="GJ1" s="1066"/>
      <c r="GK1" s="1066"/>
      <c r="GL1" s="1066"/>
      <c r="GM1" s="1066"/>
      <c r="GN1" s="1066"/>
      <c r="GO1" s="1066"/>
      <c r="GP1" s="1066"/>
      <c r="GQ1" s="1066"/>
      <c r="GR1" s="514"/>
      <c r="GS1" s="513"/>
      <c r="GT1" s="5"/>
      <c r="GU1" s="1063" t="s">
        <v>277</v>
      </c>
      <c r="GV1" s="1063"/>
      <c r="GW1" s="1063"/>
      <c r="GX1" s="1063"/>
      <c r="GY1" s="1063"/>
      <c r="GZ1" s="1063"/>
      <c r="HA1" s="1063"/>
      <c r="HB1" s="1063"/>
      <c r="HC1" s="1063"/>
      <c r="HD1" s="515"/>
      <c r="HE1" s="513"/>
      <c r="HF1" s="5"/>
      <c r="HG1" s="1063" t="s">
        <v>278</v>
      </c>
      <c r="HH1" s="1063"/>
      <c r="HI1" s="1063"/>
      <c r="HJ1" s="1063"/>
      <c r="HK1" s="1063"/>
      <c r="HL1" s="1063"/>
      <c r="HM1" s="515"/>
      <c r="HN1" s="513"/>
      <c r="HO1" s="5"/>
      <c r="HP1" s="1064" t="s">
        <v>279</v>
      </c>
      <c r="HQ1" s="1064"/>
      <c r="HR1" s="1064"/>
      <c r="HS1" s="1064"/>
      <c r="HT1" s="1064"/>
      <c r="HU1" s="1064"/>
      <c r="HV1" s="1064"/>
      <c r="HW1" s="1064"/>
      <c r="HX1" s="1064"/>
      <c r="HY1" s="510"/>
      <c r="HZ1" s="511"/>
      <c r="IA1" s="510"/>
      <c r="IB1" s="1065" t="s">
        <v>280</v>
      </c>
      <c r="IC1" s="1065"/>
      <c r="ID1" s="1065"/>
      <c r="IE1" s="1065"/>
      <c r="IF1" s="1065"/>
      <c r="IG1" s="1065"/>
      <c r="IH1" s="1065"/>
      <c r="II1" s="1065"/>
      <c r="IJ1" s="1065"/>
      <c r="IK1" s="1065"/>
      <c r="IL1" s="510"/>
      <c r="IM1" s="511"/>
      <c r="IN1" s="510"/>
      <c r="IO1" s="1065" t="s">
        <v>281</v>
      </c>
      <c r="IP1" s="1065"/>
      <c r="IQ1" s="1065"/>
      <c r="IR1" s="1065"/>
      <c r="IS1" s="1065"/>
      <c r="IT1" s="1065"/>
      <c r="IU1" s="1065"/>
      <c r="IV1" s="1065"/>
      <c r="IW1" s="1065"/>
      <c r="IX1" s="1065"/>
      <c r="IY1" s="1065"/>
      <c r="IZ1" s="1065"/>
      <c r="JA1" s="1065"/>
      <c r="JB1" s="1065"/>
      <c r="JC1" s="5"/>
      <c r="JD1" s="513"/>
      <c r="JE1" s="5"/>
      <c r="JF1" s="1064" t="s">
        <v>282</v>
      </c>
      <c r="JG1" s="1064"/>
      <c r="JH1" s="1064"/>
      <c r="JI1" s="1064"/>
      <c r="JJ1" s="1064"/>
      <c r="JK1" s="1064"/>
      <c r="JL1" s="1064"/>
      <c r="JM1" s="1064"/>
      <c r="JN1" s="1064"/>
      <c r="JO1" s="5"/>
      <c r="JP1" s="5"/>
      <c r="JQ1" s="513"/>
      <c r="JS1" s="516" t="s">
        <v>438</v>
      </c>
      <c r="JX1" s="516" t="s">
        <v>436</v>
      </c>
      <c r="JY1" s="516" t="s">
        <v>437</v>
      </c>
    </row>
    <row r="2" spans="1:292" ht="77.25" customHeight="1" x14ac:dyDescent="0.3">
      <c r="A2" s="517"/>
      <c r="B2" s="518"/>
      <c r="C2" s="75" t="s">
        <v>283</v>
      </c>
      <c r="D2" s="75" t="s">
        <v>284</v>
      </c>
      <c r="E2" s="75" t="s">
        <v>285</v>
      </c>
      <c r="F2" s="46"/>
      <c r="G2" s="519"/>
      <c r="H2" s="46"/>
      <c r="I2" s="517"/>
      <c r="J2" s="75" t="s">
        <v>286</v>
      </c>
      <c r="K2" s="75" t="s">
        <v>287</v>
      </c>
      <c r="L2" s="987" t="s">
        <v>288</v>
      </c>
      <c r="M2" s="75" t="s">
        <v>289</v>
      </c>
      <c r="N2" s="987" t="s">
        <v>290</v>
      </c>
      <c r="O2" s="75" t="s">
        <v>291</v>
      </c>
      <c r="P2" s="75" t="s">
        <v>292</v>
      </c>
      <c r="Q2" s="75" t="s">
        <v>293</v>
      </c>
      <c r="R2" s="46"/>
      <c r="S2" s="519"/>
      <c r="T2" s="46"/>
      <c r="U2" s="517"/>
      <c r="V2" s="75" t="s">
        <v>286</v>
      </c>
      <c r="W2" s="75" t="s">
        <v>287</v>
      </c>
      <c r="X2" s="75" t="s">
        <v>294</v>
      </c>
      <c r="Y2" s="75" t="s">
        <v>295</v>
      </c>
      <c r="Z2" s="46"/>
      <c r="AA2" s="519"/>
      <c r="AB2" s="46"/>
      <c r="AC2" s="520"/>
      <c r="AD2" s="521" t="s">
        <v>286</v>
      </c>
      <c r="AE2" s="75" t="s">
        <v>287</v>
      </c>
      <c r="AF2" s="988" t="s">
        <v>296</v>
      </c>
      <c r="AG2" s="46"/>
      <c r="AH2" s="519"/>
      <c r="AI2" s="46"/>
      <c r="AJ2" s="517"/>
      <c r="AK2" s="75"/>
      <c r="AL2" s="75" t="s">
        <v>127</v>
      </c>
      <c r="AM2" s="522"/>
      <c r="AN2" s="523"/>
      <c r="AO2" s="522"/>
      <c r="AP2" s="517"/>
      <c r="AQ2" s="75" t="s">
        <v>286</v>
      </c>
      <c r="AR2" s="75" t="s">
        <v>287</v>
      </c>
      <c r="AS2" s="75" t="s">
        <v>297</v>
      </c>
      <c r="AT2" s="1002" t="s">
        <v>298</v>
      </c>
      <c r="AU2" s="75" t="s">
        <v>299</v>
      </c>
      <c r="AV2" s="75" t="s">
        <v>300</v>
      </c>
      <c r="AW2" s="75" t="s">
        <v>301</v>
      </c>
      <c r="AX2" s="75" t="s">
        <v>302</v>
      </c>
      <c r="AY2" s="524" t="s">
        <v>303</v>
      </c>
      <c r="AZ2" s="524" t="s">
        <v>304</v>
      </c>
      <c r="BA2" s="46"/>
      <c r="BB2" s="519"/>
      <c r="BC2" s="177"/>
      <c r="BD2" s="517"/>
      <c r="BE2" s="75" t="s">
        <v>305</v>
      </c>
      <c r="BF2" s="75" t="s">
        <v>306</v>
      </c>
      <c r="BG2" s="75" t="s">
        <v>307</v>
      </c>
      <c r="BH2" s="46"/>
      <c r="BI2" s="519"/>
      <c r="BJ2" s="46"/>
      <c r="BK2" s="517"/>
      <c r="BL2" s="75" t="s">
        <v>286</v>
      </c>
      <c r="BM2" s="75" t="s">
        <v>287</v>
      </c>
      <c r="BN2" s="75" t="str">
        <f>BE4</f>
        <v>Direct and Collector Labour Allocator</v>
      </c>
      <c r="BO2" s="75" t="s">
        <v>308</v>
      </c>
      <c r="BP2" s="75" t="str">
        <f>BE5</f>
        <v>Volume Allocator</v>
      </c>
      <c r="BQ2" s="75" t="s">
        <v>309</v>
      </c>
      <c r="BR2" s="75" t="s">
        <v>310</v>
      </c>
      <c r="BS2" s="75" t="s">
        <v>285</v>
      </c>
      <c r="BT2" s="46"/>
      <c r="BU2" s="519"/>
      <c r="BV2" s="46"/>
      <c r="BW2" s="517"/>
      <c r="BX2" s="106"/>
      <c r="BY2" s="987" t="s">
        <v>311</v>
      </c>
      <c r="BZ2" s="75" t="s">
        <v>312</v>
      </c>
      <c r="CA2" s="75" t="s">
        <v>313</v>
      </c>
      <c r="CB2" s="75" t="s">
        <v>314</v>
      </c>
      <c r="CC2" s="75" t="s">
        <v>315</v>
      </c>
      <c r="CD2" s="75" t="s">
        <v>316</v>
      </c>
      <c r="CE2" s="46"/>
      <c r="CF2" s="519"/>
      <c r="CG2" s="46"/>
      <c r="CH2" s="517"/>
      <c r="CI2" s="75" t="s">
        <v>286</v>
      </c>
      <c r="CJ2" s="75" t="s">
        <v>287</v>
      </c>
      <c r="CK2" s="75" t="s">
        <v>317</v>
      </c>
      <c r="CL2" s="75" t="s">
        <v>318</v>
      </c>
      <c r="CM2" s="75" t="s">
        <v>319</v>
      </c>
      <c r="CN2" s="75" t="s">
        <v>320</v>
      </c>
      <c r="CO2" s="75" t="s">
        <v>321</v>
      </c>
      <c r="CP2" s="75" t="s">
        <v>322</v>
      </c>
      <c r="CQ2" s="75" t="s">
        <v>285</v>
      </c>
      <c r="CR2" s="46"/>
      <c r="CS2" s="519"/>
      <c r="CT2" s="46"/>
      <c r="CU2" s="517"/>
      <c r="CV2" s="75" t="s">
        <v>323</v>
      </c>
      <c r="CW2" s="75" t="s">
        <v>322</v>
      </c>
      <c r="CX2" s="75" t="s">
        <v>292</v>
      </c>
      <c r="CY2" s="525" t="s">
        <v>317</v>
      </c>
      <c r="CZ2" s="75" t="str">
        <f>CW2</f>
        <v>Building Allocator</v>
      </c>
      <c r="DA2" s="75" t="str">
        <f>CX2</f>
        <v>Pallet Allocator</v>
      </c>
      <c r="DB2" s="75" t="str">
        <f>CY2</f>
        <v>Volume Allocator</v>
      </c>
      <c r="DC2" s="987" t="s">
        <v>324</v>
      </c>
      <c r="DD2" s="46"/>
      <c r="DE2" s="519"/>
      <c r="DF2" s="46"/>
      <c r="DG2" s="517"/>
      <c r="DH2" s="75" t="s">
        <v>286</v>
      </c>
      <c r="DI2" s="75" t="s">
        <v>287</v>
      </c>
      <c r="DJ2" s="75" t="s">
        <v>322</v>
      </c>
      <c r="DK2" s="75" t="s">
        <v>325</v>
      </c>
      <c r="DL2" s="75" t="s">
        <v>292</v>
      </c>
      <c r="DM2" s="75" t="s">
        <v>326</v>
      </c>
      <c r="DN2" s="75" t="s">
        <v>317</v>
      </c>
      <c r="DO2" s="75" t="s">
        <v>327</v>
      </c>
      <c r="DP2" s="75" t="s">
        <v>328</v>
      </c>
      <c r="DQ2" s="75" t="s">
        <v>329</v>
      </c>
      <c r="DR2" s="75" t="s">
        <v>285</v>
      </c>
      <c r="DS2" s="46"/>
      <c r="DT2" s="519"/>
      <c r="DU2" s="46"/>
      <c r="DV2" s="517"/>
      <c r="DW2" s="75" t="s">
        <v>286</v>
      </c>
      <c r="DX2" s="75" t="s">
        <v>287</v>
      </c>
      <c r="DY2" s="75" t="s">
        <v>292</v>
      </c>
      <c r="DZ2" s="75" t="s">
        <v>330</v>
      </c>
      <c r="EA2" s="75" t="s">
        <v>285</v>
      </c>
      <c r="EB2" s="46"/>
      <c r="EC2" s="519"/>
      <c r="ED2" s="46"/>
      <c r="EE2" s="526"/>
      <c r="EF2" s="75" t="s">
        <v>305</v>
      </c>
      <c r="EG2" s="987" t="s">
        <v>331</v>
      </c>
      <c r="EH2" s="75" t="s">
        <v>306</v>
      </c>
      <c r="EI2" s="75" t="s">
        <v>307</v>
      </c>
      <c r="EJ2" s="46"/>
      <c r="EK2" s="519"/>
      <c r="EL2" s="46"/>
      <c r="EM2" s="517"/>
      <c r="EN2" s="75" t="s">
        <v>286</v>
      </c>
      <c r="EO2" s="75" t="s">
        <v>287</v>
      </c>
      <c r="EP2" s="75" t="s">
        <v>295</v>
      </c>
      <c r="EQ2" s="75" t="s">
        <v>332</v>
      </c>
      <c r="ER2" s="75" t="s">
        <v>322</v>
      </c>
      <c r="ES2" s="75" t="s">
        <v>333</v>
      </c>
      <c r="ET2" s="75" t="s">
        <v>317</v>
      </c>
      <c r="EU2" s="75" t="s">
        <v>334</v>
      </c>
      <c r="EV2" s="75" t="s">
        <v>335</v>
      </c>
      <c r="EW2" s="75" t="s">
        <v>329</v>
      </c>
      <c r="EX2" s="75" t="s">
        <v>285</v>
      </c>
      <c r="EY2" s="46"/>
      <c r="EZ2" s="519"/>
      <c r="FA2" s="46"/>
      <c r="FB2" s="527"/>
      <c r="FC2" s="64" t="s">
        <v>126</v>
      </c>
      <c r="FD2" s="64" t="s">
        <v>336</v>
      </c>
      <c r="FE2" s="46"/>
      <c r="FF2" s="519"/>
      <c r="FG2" s="46"/>
      <c r="FH2" s="517"/>
      <c r="FI2" s="75" t="s">
        <v>286</v>
      </c>
      <c r="FJ2" s="75" t="s">
        <v>287</v>
      </c>
      <c r="FK2" s="75" t="str">
        <f>Y2</f>
        <v>Business Cost Allocator</v>
      </c>
      <c r="FL2" s="75" t="s">
        <v>337</v>
      </c>
      <c r="FM2" s="75" t="s">
        <v>285</v>
      </c>
      <c r="FN2" s="46"/>
      <c r="FQ2" s="517"/>
      <c r="FR2" s="75" t="s">
        <v>286</v>
      </c>
      <c r="FS2" s="75" t="s">
        <v>287</v>
      </c>
      <c r="FT2" s="75" t="s">
        <v>338</v>
      </c>
      <c r="FU2" s="75" t="s">
        <v>48</v>
      </c>
      <c r="FV2" s="75" t="s">
        <v>339</v>
      </c>
      <c r="FW2" s="75" t="s">
        <v>52</v>
      </c>
      <c r="FX2" s="75" t="s">
        <v>50</v>
      </c>
      <c r="FY2" s="75" t="s">
        <v>53</v>
      </c>
      <c r="FZ2" s="75" t="s">
        <v>336</v>
      </c>
      <c r="GA2" s="75" t="s">
        <v>340</v>
      </c>
      <c r="GB2" s="75" t="s">
        <v>285</v>
      </c>
      <c r="GC2" s="46"/>
      <c r="GF2" s="517"/>
      <c r="GG2" s="75" t="s">
        <v>286</v>
      </c>
      <c r="GH2" s="75" t="s">
        <v>287</v>
      </c>
      <c r="GI2" s="75" t="s">
        <v>341</v>
      </c>
      <c r="GJ2" s="75" t="s">
        <v>342</v>
      </c>
      <c r="GK2" s="75" t="s">
        <v>343</v>
      </c>
      <c r="GL2" s="75" t="s">
        <v>344</v>
      </c>
      <c r="GM2" s="75" t="s">
        <v>345</v>
      </c>
      <c r="GN2" s="75" t="s">
        <v>346</v>
      </c>
      <c r="GO2" s="75" t="s">
        <v>347</v>
      </c>
      <c r="GP2" s="75" t="s">
        <v>285</v>
      </c>
      <c r="GQ2" s="1002" t="s">
        <v>118</v>
      </c>
      <c r="GR2" s="529"/>
      <c r="GU2" s="517"/>
      <c r="GV2" s="75" t="s">
        <v>286</v>
      </c>
      <c r="GW2" s="75" t="s">
        <v>287</v>
      </c>
      <c r="GX2" s="75" t="s">
        <v>293</v>
      </c>
      <c r="GY2" s="75" t="s">
        <v>340</v>
      </c>
      <c r="GZ2" s="75" t="s">
        <v>118</v>
      </c>
      <c r="HA2" s="75" t="s">
        <v>348</v>
      </c>
      <c r="HB2" s="75" t="s">
        <v>349</v>
      </c>
      <c r="HC2" s="75" t="s">
        <v>350</v>
      </c>
      <c r="HD2" s="46"/>
      <c r="HG2" s="517"/>
      <c r="HH2" s="75" t="s">
        <v>293</v>
      </c>
      <c r="HI2" s="75" t="s">
        <v>340</v>
      </c>
      <c r="HJ2" s="75" t="s">
        <v>118</v>
      </c>
      <c r="HK2" s="75" t="s">
        <v>349</v>
      </c>
      <c r="HL2" s="75" t="s">
        <v>350</v>
      </c>
      <c r="HM2" s="46"/>
      <c r="HP2" s="517"/>
      <c r="HQ2" s="531" t="s">
        <v>286</v>
      </c>
      <c r="HR2" s="531" t="str">
        <f>FS2</f>
        <v>Container Stream</v>
      </c>
      <c r="HS2" s="989" t="s">
        <v>118</v>
      </c>
      <c r="HT2" s="531" t="s">
        <v>351</v>
      </c>
      <c r="HU2" s="989" t="s">
        <v>428</v>
      </c>
      <c r="HV2" s="531" t="s">
        <v>73</v>
      </c>
      <c r="HW2" s="531" t="s">
        <v>352</v>
      </c>
      <c r="HX2" s="531" t="s">
        <v>353</v>
      </c>
      <c r="HY2" s="46"/>
      <c r="HZ2" s="519"/>
      <c r="IB2" s="532" t="s">
        <v>354</v>
      </c>
      <c r="IC2" s="532" t="s">
        <v>355</v>
      </c>
      <c r="ID2" s="532" t="s">
        <v>356</v>
      </c>
      <c r="IE2" s="532" t="s">
        <v>357</v>
      </c>
      <c r="IF2" s="532" t="s">
        <v>358</v>
      </c>
      <c r="IG2" s="532" t="s">
        <v>283</v>
      </c>
      <c r="IH2" s="532" t="s">
        <v>359</v>
      </c>
      <c r="II2" s="989" t="s">
        <v>360</v>
      </c>
      <c r="IJ2" s="532" t="s">
        <v>361</v>
      </c>
      <c r="IK2" s="532" t="s">
        <v>362</v>
      </c>
      <c r="IL2" s="46"/>
      <c r="IM2" s="519"/>
      <c r="IN2" s="46"/>
      <c r="IO2" s="533"/>
      <c r="IP2" s="532" t="s">
        <v>286</v>
      </c>
      <c r="IQ2" s="532" t="s">
        <v>287</v>
      </c>
      <c r="IR2" s="532" t="s">
        <v>340</v>
      </c>
      <c r="IS2" s="532" t="s">
        <v>118</v>
      </c>
      <c r="IT2" s="532" t="s">
        <v>363</v>
      </c>
      <c r="IU2" s="532" t="s">
        <v>364</v>
      </c>
      <c r="IV2" s="532" t="s">
        <v>365</v>
      </c>
      <c r="IW2" s="532" t="s">
        <v>366</v>
      </c>
      <c r="IX2" s="534" t="s">
        <v>367</v>
      </c>
      <c r="IY2" s="534" t="s">
        <v>368</v>
      </c>
      <c r="IZ2" s="534" t="s">
        <v>369</v>
      </c>
      <c r="JA2" s="534" t="s">
        <v>370</v>
      </c>
      <c r="JB2" s="534" t="s">
        <v>371</v>
      </c>
      <c r="JF2" s="517"/>
      <c r="JG2" s="531" t="s">
        <v>286</v>
      </c>
      <c r="JH2" s="531" t="str">
        <f>FS2</f>
        <v>Container Stream</v>
      </c>
      <c r="JI2" s="989" t="s">
        <v>118</v>
      </c>
      <c r="JJ2" s="531" t="s">
        <v>372</v>
      </c>
      <c r="JK2" s="989" t="s">
        <v>429</v>
      </c>
      <c r="JL2" s="531" t="s">
        <v>73</v>
      </c>
      <c r="JM2" s="531" t="s">
        <v>352</v>
      </c>
      <c r="JN2" s="531" t="s">
        <v>353</v>
      </c>
      <c r="JS2" s="531" t="s">
        <v>434</v>
      </c>
      <c r="JT2" s="531" t="s">
        <v>132</v>
      </c>
      <c r="JU2" s="989" t="s">
        <v>118</v>
      </c>
      <c r="JV2" s="1008" t="s">
        <v>441</v>
      </c>
      <c r="JX2" s="1008" t="s">
        <v>440</v>
      </c>
      <c r="JY2" s="1008" t="s">
        <v>439</v>
      </c>
      <c r="JZ2" s="516"/>
      <c r="KA2" s="516"/>
      <c r="KB2" s="516"/>
      <c r="KC2" s="516"/>
      <c r="KE2" s="516"/>
      <c r="KF2" s="516"/>
    </row>
    <row r="3" spans="1:292" ht="16.5" customHeight="1" x14ac:dyDescent="0.3">
      <c r="A3" s="535" t="s">
        <v>133</v>
      </c>
      <c r="B3" s="145" t="s">
        <v>134</v>
      </c>
      <c r="C3" s="145" t="s">
        <v>135</v>
      </c>
      <c r="D3" s="145" t="s">
        <v>159</v>
      </c>
      <c r="E3" s="145" t="s">
        <v>137</v>
      </c>
      <c r="F3" s="123"/>
      <c r="G3" s="536"/>
      <c r="H3" s="123"/>
      <c r="I3" s="535" t="s">
        <v>133</v>
      </c>
      <c r="J3" s="145" t="s">
        <v>134</v>
      </c>
      <c r="K3" s="145" t="s">
        <v>135</v>
      </c>
      <c r="L3" s="145" t="s">
        <v>147</v>
      </c>
      <c r="M3" s="145" t="s">
        <v>137</v>
      </c>
      <c r="N3" s="145" t="s">
        <v>138</v>
      </c>
      <c r="O3" s="145" t="s">
        <v>139</v>
      </c>
      <c r="P3" s="145" t="s">
        <v>140</v>
      </c>
      <c r="Q3" s="143" t="s">
        <v>141</v>
      </c>
      <c r="R3" s="123"/>
      <c r="S3" s="536"/>
      <c r="T3" s="123"/>
      <c r="U3" s="535" t="s">
        <v>133</v>
      </c>
      <c r="V3" s="145" t="s">
        <v>134</v>
      </c>
      <c r="W3" s="145" t="s">
        <v>135</v>
      </c>
      <c r="X3" s="145" t="s">
        <v>147</v>
      </c>
      <c r="Y3" s="145" t="s">
        <v>137</v>
      </c>
      <c r="Z3" s="123"/>
      <c r="AA3" s="536"/>
      <c r="AB3" s="123"/>
      <c r="AC3" s="535" t="s">
        <v>133</v>
      </c>
      <c r="AD3" s="145" t="s">
        <v>134</v>
      </c>
      <c r="AE3" s="145" t="s">
        <v>135</v>
      </c>
      <c r="AF3" s="145" t="s">
        <v>147</v>
      </c>
      <c r="AG3" s="123"/>
      <c r="AH3" s="536"/>
      <c r="AI3" s="123"/>
      <c r="AJ3" s="537" t="s">
        <v>133</v>
      </c>
      <c r="AK3" s="145" t="s">
        <v>134</v>
      </c>
      <c r="AL3" s="145" t="s">
        <v>135</v>
      </c>
      <c r="AM3" s="538"/>
      <c r="AN3" s="539"/>
      <c r="AO3" s="538"/>
      <c r="AP3" s="537" t="s">
        <v>133</v>
      </c>
      <c r="AQ3" s="145" t="s">
        <v>134</v>
      </c>
      <c r="AR3" s="145" t="s">
        <v>135</v>
      </c>
      <c r="AS3" s="145" t="s">
        <v>147</v>
      </c>
      <c r="AT3" s="540" t="s">
        <v>137</v>
      </c>
      <c r="AU3" s="145" t="s">
        <v>138</v>
      </c>
      <c r="AV3" s="145" t="s">
        <v>139</v>
      </c>
      <c r="AW3" s="145" t="s">
        <v>140</v>
      </c>
      <c r="AX3" s="145" t="s">
        <v>141</v>
      </c>
      <c r="AY3" s="123" t="s">
        <v>143</v>
      </c>
      <c r="AZ3" s="123" t="s">
        <v>142</v>
      </c>
      <c r="BA3" s="123"/>
      <c r="BB3" s="536"/>
      <c r="BC3" s="143"/>
      <c r="BD3" s="535" t="s">
        <v>133</v>
      </c>
      <c r="BE3" s="145" t="s">
        <v>134</v>
      </c>
      <c r="BF3" s="145" t="s">
        <v>147</v>
      </c>
      <c r="BG3" s="145" t="s">
        <v>137</v>
      </c>
      <c r="BH3" s="123"/>
      <c r="BI3" s="536"/>
      <c r="BJ3" s="123"/>
      <c r="BK3" s="535" t="s">
        <v>133</v>
      </c>
      <c r="BL3" s="145" t="s">
        <v>134</v>
      </c>
      <c r="BM3" s="145" t="s">
        <v>135</v>
      </c>
      <c r="BN3" s="145" t="s">
        <v>159</v>
      </c>
      <c r="BO3" s="145" t="s">
        <v>137</v>
      </c>
      <c r="BP3" s="145" t="s">
        <v>138</v>
      </c>
      <c r="BQ3" s="145" t="s">
        <v>139</v>
      </c>
      <c r="BR3" s="143" t="s">
        <v>140</v>
      </c>
      <c r="BS3" s="143" t="s">
        <v>141</v>
      </c>
      <c r="BT3" s="123"/>
      <c r="BU3" s="536"/>
      <c r="BV3" s="123"/>
      <c r="BW3" s="537" t="s">
        <v>133</v>
      </c>
      <c r="BX3" s="145" t="s">
        <v>134</v>
      </c>
      <c r="BY3" s="145" t="s">
        <v>135</v>
      </c>
      <c r="BZ3" s="145" t="s">
        <v>147</v>
      </c>
      <c r="CA3" s="145" t="s">
        <v>137</v>
      </c>
      <c r="CB3" s="145" t="s">
        <v>138</v>
      </c>
      <c r="CC3" s="145" t="s">
        <v>139</v>
      </c>
      <c r="CD3" s="145" t="s">
        <v>140</v>
      </c>
      <c r="CE3" s="123"/>
      <c r="CF3" s="536"/>
      <c r="CG3" s="123"/>
      <c r="CH3" s="535" t="s">
        <v>133</v>
      </c>
      <c r="CI3" s="145" t="s">
        <v>134</v>
      </c>
      <c r="CJ3" s="145" t="s">
        <v>135</v>
      </c>
      <c r="CK3" s="145" t="s">
        <v>147</v>
      </c>
      <c r="CL3" s="145" t="s">
        <v>137</v>
      </c>
      <c r="CM3" s="145" t="s">
        <v>138</v>
      </c>
      <c r="CN3" s="145" t="s">
        <v>139</v>
      </c>
      <c r="CO3" s="145" t="s">
        <v>140</v>
      </c>
      <c r="CP3" s="145" t="s">
        <v>141</v>
      </c>
      <c r="CQ3" s="145" t="s">
        <v>142</v>
      </c>
      <c r="CR3" s="123"/>
      <c r="CS3" s="536"/>
      <c r="CT3" s="123"/>
      <c r="CU3" s="535" t="s">
        <v>133</v>
      </c>
      <c r="CV3" s="145" t="s">
        <v>134</v>
      </c>
      <c r="CW3" s="145" t="s">
        <v>135</v>
      </c>
      <c r="CX3" s="145" t="s">
        <v>159</v>
      </c>
      <c r="CY3" s="145" t="s">
        <v>137</v>
      </c>
      <c r="CZ3" s="145" t="s">
        <v>160</v>
      </c>
      <c r="DA3" s="145" t="s">
        <v>373</v>
      </c>
      <c r="DB3" s="145" t="s">
        <v>140</v>
      </c>
      <c r="DC3" s="145" t="s">
        <v>374</v>
      </c>
      <c r="DD3" s="123"/>
      <c r="DE3" s="536"/>
      <c r="DF3" s="123"/>
      <c r="DG3" s="535" t="s">
        <v>133</v>
      </c>
      <c r="DH3" s="145" t="s">
        <v>134</v>
      </c>
      <c r="DI3" s="145" t="s">
        <v>135</v>
      </c>
      <c r="DJ3" s="145" t="s">
        <v>147</v>
      </c>
      <c r="DK3" s="145" t="s">
        <v>137</v>
      </c>
      <c r="DL3" s="145" t="s">
        <v>138</v>
      </c>
      <c r="DM3" s="145" t="s">
        <v>139</v>
      </c>
      <c r="DN3" s="145" t="s">
        <v>140</v>
      </c>
      <c r="DO3" s="145" t="s">
        <v>141</v>
      </c>
      <c r="DP3" s="145" t="s">
        <v>142</v>
      </c>
      <c r="DQ3" s="145" t="s">
        <v>143</v>
      </c>
      <c r="DR3" s="145" t="s">
        <v>144</v>
      </c>
      <c r="DS3" s="123"/>
      <c r="DT3" s="536"/>
      <c r="DU3" s="123"/>
      <c r="DV3" s="535" t="s">
        <v>133</v>
      </c>
      <c r="DW3" s="145" t="s">
        <v>134</v>
      </c>
      <c r="DX3" s="145" t="s">
        <v>135</v>
      </c>
      <c r="DY3" s="145" t="s">
        <v>147</v>
      </c>
      <c r="DZ3" s="145" t="s">
        <v>137</v>
      </c>
      <c r="EA3" s="145" t="s">
        <v>160</v>
      </c>
      <c r="EB3" s="123"/>
      <c r="EC3" s="536"/>
      <c r="ED3" s="123"/>
      <c r="EE3" s="535" t="s">
        <v>133</v>
      </c>
      <c r="EF3" s="145" t="s">
        <v>134</v>
      </c>
      <c r="EG3" s="145" t="s">
        <v>135</v>
      </c>
      <c r="EH3" s="145" t="s">
        <v>147</v>
      </c>
      <c r="EI3" s="145" t="s">
        <v>137</v>
      </c>
      <c r="EJ3" s="123"/>
      <c r="EK3" s="536"/>
      <c r="EL3" s="123"/>
      <c r="EM3" s="537" t="s">
        <v>133</v>
      </c>
      <c r="EN3" s="145" t="s">
        <v>134</v>
      </c>
      <c r="EO3" s="145" t="s">
        <v>135</v>
      </c>
      <c r="EP3" s="145" t="s">
        <v>147</v>
      </c>
      <c r="EQ3" s="145" t="s">
        <v>137</v>
      </c>
      <c r="ER3" s="145" t="s">
        <v>138</v>
      </c>
      <c r="ES3" s="145" t="s">
        <v>139</v>
      </c>
      <c r="ET3" s="145" t="s">
        <v>140</v>
      </c>
      <c r="EU3" s="145" t="s">
        <v>141</v>
      </c>
      <c r="EV3" s="145" t="s">
        <v>142</v>
      </c>
      <c r="EW3" s="145" t="s">
        <v>143</v>
      </c>
      <c r="EX3" s="145" t="s">
        <v>144</v>
      </c>
      <c r="EY3" s="123"/>
      <c r="EZ3" s="536"/>
      <c r="FA3" s="123"/>
      <c r="FB3" s="535" t="s">
        <v>133</v>
      </c>
      <c r="FC3" s="145" t="s">
        <v>134</v>
      </c>
      <c r="FD3" s="145" t="s">
        <v>135</v>
      </c>
      <c r="FE3" s="123"/>
      <c r="FF3" s="536"/>
      <c r="FG3" s="123"/>
      <c r="FH3" s="535" t="s">
        <v>133</v>
      </c>
      <c r="FI3" s="145" t="s">
        <v>134</v>
      </c>
      <c r="FJ3" s="145" t="s">
        <v>135</v>
      </c>
      <c r="FK3" s="145" t="s">
        <v>147</v>
      </c>
      <c r="FL3" s="145" t="s">
        <v>137</v>
      </c>
      <c r="FM3" s="145" t="s">
        <v>160</v>
      </c>
      <c r="FN3" s="123"/>
      <c r="FO3" s="541"/>
      <c r="FP3" s="60"/>
      <c r="FQ3" s="535" t="s">
        <v>133</v>
      </c>
      <c r="FR3" s="145" t="s">
        <v>134</v>
      </c>
      <c r="FS3" s="145" t="s">
        <v>135</v>
      </c>
      <c r="FT3" s="145" t="s">
        <v>147</v>
      </c>
      <c r="FU3" s="540" t="s">
        <v>137</v>
      </c>
      <c r="FV3" s="145" t="s">
        <v>138</v>
      </c>
      <c r="FW3" s="145" t="s">
        <v>139</v>
      </c>
      <c r="FX3" s="143" t="s">
        <v>140</v>
      </c>
      <c r="FY3" s="143" t="s">
        <v>141</v>
      </c>
      <c r="FZ3" s="143" t="s">
        <v>142</v>
      </c>
      <c r="GA3" s="542" t="s">
        <v>143</v>
      </c>
      <c r="GB3" s="145" t="s">
        <v>144</v>
      </c>
      <c r="GC3" s="538"/>
      <c r="GD3" s="541"/>
      <c r="GE3" s="60"/>
      <c r="GF3" s="535" t="s">
        <v>133</v>
      </c>
      <c r="GG3" s="145" t="s">
        <v>134</v>
      </c>
      <c r="GH3" s="145" t="s">
        <v>135</v>
      </c>
      <c r="GI3" s="145" t="s">
        <v>147</v>
      </c>
      <c r="GJ3" s="145" t="s">
        <v>137</v>
      </c>
      <c r="GK3" s="540" t="s">
        <v>138</v>
      </c>
      <c r="GL3" s="145" t="s">
        <v>139</v>
      </c>
      <c r="GM3" s="145" t="s">
        <v>140</v>
      </c>
      <c r="GN3" s="143" t="s">
        <v>141</v>
      </c>
      <c r="GO3" s="143" t="s">
        <v>142</v>
      </c>
      <c r="GP3" s="143" t="s">
        <v>143</v>
      </c>
      <c r="GQ3" s="145" t="s">
        <v>144</v>
      </c>
      <c r="GU3" s="535" t="s">
        <v>133</v>
      </c>
      <c r="GV3" s="145" t="s">
        <v>134</v>
      </c>
      <c r="GW3" s="145" t="s">
        <v>135</v>
      </c>
      <c r="GX3" s="145" t="s">
        <v>147</v>
      </c>
      <c r="GY3" s="542" t="s">
        <v>137</v>
      </c>
      <c r="GZ3" s="145" t="s">
        <v>138</v>
      </c>
      <c r="HA3" s="145" t="s">
        <v>139</v>
      </c>
      <c r="HB3" s="145" t="s">
        <v>140</v>
      </c>
      <c r="HC3" s="145" t="s">
        <v>141</v>
      </c>
      <c r="HD3" s="538"/>
      <c r="HG3" s="535" t="s">
        <v>133</v>
      </c>
      <c r="HH3" s="145" t="s">
        <v>134</v>
      </c>
      <c r="HI3" s="145" t="s">
        <v>135</v>
      </c>
      <c r="HJ3" s="145" t="s">
        <v>147</v>
      </c>
      <c r="HK3" s="542" t="s">
        <v>137</v>
      </c>
      <c r="HL3" s="145" t="s">
        <v>138</v>
      </c>
      <c r="HM3" s="538"/>
      <c r="HP3" s="535" t="s">
        <v>133</v>
      </c>
      <c r="HQ3" s="145" t="s">
        <v>134</v>
      </c>
      <c r="HR3" s="145" t="s">
        <v>135</v>
      </c>
      <c r="HS3" s="145" t="s">
        <v>147</v>
      </c>
      <c r="HT3" s="145" t="s">
        <v>137</v>
      </c>
      <c r="HU3" s="145" t="s">
        <v>138</v>
      </c>
      <c r="HV3" s="540" t="s">
        <v>139</v>
      </c>
      <c r="HW3" s="540" t="s">
        <v>140</v>
      </c>
      <c r="HX3" s="540" t="s">
        <v>141</v>
      </c>
      <c r="HY3" s="123"/>
      <c r="HZ3" s="536"/>
      <c r="IB3" s="145" t="s">
        <v>134</v>
      </c>
      <c r="IC3" s="145" t="s">
        <v>135</v>
      </c>
      <c r="ID3" s="145" t="s">
        <v>147</v>
      </c>
      <c r="IE3" s="145" t="s">
        <v>137</v>
      </c>
      <c r="IF3" s="145" t="s">
        <v>138</v>
      </c>
      <c r="IG3" s="145" t="s">
        <v>139</v>
      </c>
      <c r="IH3" s="145" t="s">
        <v>140</v>
      </c>
      <c r="II3" s="145" t="s">
        <v>141</v>
      </c>
      <c r="IJ3" s="145" t="s">
        <v>142</v>
      </c>
      <c r="IK3" s="145" t="s">
        <v>143</v>
      </c>
      <c r="IL3" s="123"/>
      <c r="IM3" s="536"/>
      <c r="IN3" s="123"/>
      <c r="IO3" s="535" t="s">
        <v>133</v>
      </c>
      <c r="IP3" s="145" t="s">
        <v>134</v>
      </c>
      <c r="IQ3" s="145" t="s">
        <v>135</v>
      </c>
      <c r="IR3" s="145" t="s">
        <v>147</v>
      </c>
      <c r="IS3" s="145" t="s">
        <v>137</v>
      </c>
      <c r="IT3" s="145" t="s">
        <v>138</v>
      </c>
      <c r="IU3" s="145" t="s">
        <v>139</v>
      </c>
      <c r="IV3" s="143" t="s">
        <v>140</v>
      </c>
      <c r="IW3" s="143" t="s">
        <v>141</v>
      </c>
      <c r="IX3" s="143" t="s">
        <v>142</v>
      </c>
      <c r="IY3" s="143" t="s">
        <v>143</v>
      </c>
      <c r="IZ3" s="143" t="s">
        <v>144</v>
      </c>
      <c r="JA3" s="143" t="s">
        <v>145</v>
      </c>
      <c r="JB3" s="143" t="s">
        <v>146</v>
      </c>
      <c r="JF3" s="535" t="s">
        <v>133</v>
      </c>
      <c r="JG3" s="145" t="s">
        <v>134</v>
      </c>
      <c r="JH3" s="145" t="s">
        <v>135</v>
      </c>
      <c r="JI3" s="145" t="s">
        <v>147</v>
      </c>
      <c r="JJ3" s="145" t="s">
        <v>137</v>
      </c>
      <c r="JK3" s="145" t="s">
        <v>138</v>
      </c>
      <c r="JL3" s="540" t="s">
        <v>139</v>
      </c>
      <c r="JM3" s="540" t="s">
        <v>140</v>
      </c>
      <c r="JN3" s="540" t="s">
        <v>141</v>
      </c>
      <c r="JS3" s="145" t="s">
        <v>137</v>
      </c>
      <c r="JT3" s="145"/>
      <c r="JU3" s="145"/>
      <c r="JV3" s="145"/>
      <c r="JZ3" s="516"/>
      <c r="KA3" s="1013" t="s">
        <v>448</v>
      </c>
      <c r="KB3" s="516"/>
      <c r="KC3" s="516"/>
      <c r="KE3" s="516"/>
      <c r="KF3" s="516"/>
    </row>
    <row r="4" spans="1:292" ht="17.25" thickBot="1" x14ac:dyDescent="0.35">
      <c r="A4" s="543">
        <v>1</v>
      </c>
      <c r="B4" s="645" t="s">
        <v>46</v>
      </c>
      <c r="C4" s="646">
        <f>'ABDA 8 month Phase I'!MC14</f>
        <v>39907140.559386715</v>
      </c>
      <c r="D4" s="647">
        <f t="shared" ref="D4:D12" si="0">C4/$C$13</f>
        <v>0.30873380404902878</v>
      </c>
      <c r="E4" s="986">
        <v>1.8263026622357388</v>
      </c>
      <c r="I4" s="543">
        <v>1</v>
      </c>
      <c r="J4" s="654">
        <f t="shared" ref="J4:J27" si="1">FR4</f>
        <v>1</v>
      </c>
      <c r="K4" s="655" t="s">
        <v>380</v>
      </c>
      <c r="L4" s="991">
        <v>1099914562.8562493</v>
      </c>
      <c r="M4" s="657">
        <f t="shared" ref="M4:M27" si="2">L4/$L$28</f>
        <v>0.50336277323275536</v>
      </c>
      <c r="N4" s="656">
        <v>2193</v>
      </c>
      <c r="O4" s="656">
        <f>IFERROR(L4/N4,0)</f>
        <v>501557.02820622403</v>
      </c>
      <c r="P4" s="657">
        <f t="shared" ref="P4:P27" si="3">O4/$O$28</f>
        <v>0.28238632123307916</v>
      </c>
      <c r="Q4" s="658" t="s">
        <v>379</v>
      </c>
      <c r="U4" s="545">
        <v>1</v>
      </c>
      <c r="V4" s="669">
        <f t="shared" ref="V4:V27" si="4">FR4</f>
        <v>1</v>
      </c>
      <c r="W4" s="655" t="s">
        <v>380</v>
      </c>
      <c r="X4" s="646">
        <f>SUM(FT4:FX4)</f>
        <v>33179706.9942239</v>
      </c>
      <c r="Y4" s="657">
        <f t="shared" ref="Y4:Y27" si="5">SUM(FT4:FX4)/SUM($FT$28:$FX$28)</f>
        <v>0.34372871407237693</v>
      </c>
      <c r="AC4" s="545">
        <v>1</v>
      </c>
      <c r="AD4" s="678">
        <v>1</v>
      </c>
      <c r="AE4" s="679" t="s">
        <v>380</v>
      </c>
      <c r="AF4" s="680">
        <v>1.94</v>
      </c>
      <c r="AJ4" s="545">
        <v>1</v>
      </c>
      <c r="AK4" s="687" t="s">
        <v>376</v>
      </c>
      <c r="AL4" s="689">
        <f>C4+C5</f>
        <v>41892920.132598884</v>
      </c>
      <c r="AM4" s="546"/>
      <c r="AN4" s="547"/>
      <c r="AO4" s="546"/>
      <c r="AP4" s="545">
        <v>1</v>
      </c>
      <c r="AQ4" s="693">
        <f t="shared" ref="AQ4:AQ27" si="6">FR4</f>
        <v>1</v>
      </c>
      <c r="AR4" s="655" t="s">
        <v>380</v>
      </c>
      <c r="AS4" s="655">
        <f t="shared" ref="AS4:AS27" si="7">VLOOKUP(AQ4,$AD$4:$AF$27,$AS$30,FALSE)</f>
        <v>1.94</v>
      </c>
      <c r="AT4" s="694">
        <f>L4</f>
        <v>1099914562.8562493</v>
      </c>
      <c r="AU4" s="694">
        <f>AT4*AS4/3600</f>
        <v>592731.7366503122</v>
      </c>
      <c r="AV4" s="695">
        <f t="shared" ref="AV4:AV27" si="8">AU4*$AL$5/$AU$28</f>
        <v>612090.51739642618</v>
      </c>
      <c r="AW4" s="696">
        <f t="shared" ref="AW4:AW27" si="9">$AL$6</f>
        <v>21.592508896755891</v>
      </c>
      <c r="AX4" s="646">
        <f>AV4*AW4</f>
        <v>13216569.942502249</v>
      </c>
      <c r="AY4" s="544">
        <f>AX4/$AX$28</f>
        <v>0.31548457115592204</v>
      </c>
      <c r="AZ4" s="548">
        <f t="shared" ref="AZ4:AZ27" si="10">IF($AT4=0,0,ROUND(IF(VLOOKUP(AQ4,$AQ$4:$AT$27,$AZ$30,FALSE)&lt;&gt;0,AX4/VLOOKUP(AQ4,$AQ$4:$AT$27,$AZ$30,FALSE)*100,""),6))</f>
        <v>1.2016</v>
      </c>
      <c r="BD4" s="543">
        <v>1</v>
      </c>
      <c r="BE4" s="655" t="str">
        <f>AY2</f>
        <v>Direct and Collector Labour Allocator</v>
      </c>
      <c r="BF4" s="657">
        <v>0.5</v>
      </c>
      <c r="BG4" s="646">
        <f>BF4*$BG$6</f>
        <v>9586712.8881295025</v>
      </c>
      <c r="BK4" s="543">
        <v>1</v>
      </c>
      <c r="BL4" s="658">
        <f t="shared" ref="BL4:BL27" si="11">FR4</f>
        <v>1</v>
      </c>
      <c r="BM4" s="655" t="s">
        <v>380</v>
      </c>
      <c r="BN4" s="657">
        <f>VLOOKUP(BL4,$AQ$4:$AY$28,$BN$33,FALSE)</f>
        <v>0.31548457115592204</v>
      </c>
      <c r="BO4" s="646">
        <f>BN4*$BO$28</f>
        <v>3024460.0043064868</v>
      </c>
      <c r="BP4" s="657">
        <f>VLOOKUP(BL4,$J$4:$M$27,$BP$33,FALSE)</f>
        <v>0.50336277323275536</v>
      </c>
      <c r="BQ4" s="646">
        <f>BP4*$BQ$28</f>
        <v>4825594.3855550643</v>
      </c>
      <c r="BR4" s="708">
        <f t="shared" ref="BR4:BR27" si="12">BQ4+BO4</f>
        <v>7850054.3898615511</v>
      </c>
      <c r="BS4" s="709">
        <f t="shared" ref="BS4:BS27" si="13">IF($AT4=0,0,ROUND(IF(VLOOKUP(BL4,$AQ$4:$AT$27,$AZ$30,FALSE)&lt;&gt;0,BR4/VLOOKUP(BL4,$AQ$4:$AT$27,$AZ$30,FALSE)*100,""),6))</f>
        <v>0.71369700000000003</v>
      </c>
      <c r="BW4" s="543">
        <v>1</v>
      </c>
      <c r="BX4" s="655" t="s">
        <v>377</v>
      </c>
      <c r="BY4" s="647">
        <v>7.564777291050645E-2</v>
      </c>
      <c r="BZ4" s="715">
        <f>BY4*$BZ$9</f>
        <v>1896770.8291299783</v>
      </c>
      <c r="CA4" s="648">
        <v>1</v>
      </c>
      <c r="CB4" s="648"/>
      <c r="CC4" s="715">
        <f t="shared" ref="CC4:CD8" si="14">CA4*$BZ4</f>
        <v>1896770.8291299783</v>
      </c>
      <c r="CD4" s="715">
        <f t="shared" si="14"/>
        <v>0</v>
      </c>
      <c r="CH4" s="543">
        <v>1</v>
      </c>
      <c r="CI4" s="678">
        <f t="shared" ref="CI4:CI27" si="15">FR4</f>
        <v>1</v>
      </c>
      <c r="CJ4" s="655" t="s">
        <v>380</v>
      </c>
      <c r="CK4" s="657">
        <f t="shared" ref="CK4:CK27" si="16">VLOOKUP(CI4,$J$4:$M$27,$CK$32,FALSE)</f>
        <v>0.50336277323275536</v>
      </c>
      <c r="CL4" s="646">
        <f t="shared" ref="CL4:CL27" si="17">CK4*$CL$28</f>
        <v>2950581.0866980567</v>
      </c>
      <c r="CM4" s="657">
        <f t="shared" ref="CM4:CM27" si="18">VLOOKUP(CI4,$J$4:$P$27,$CM$32,FALSE)</f>
        <v>0.28238632123307916</v>
      </c>
      <c r="CN4" s="646">
        <f t="shared" ref="CN4:CN27" si="19">CM4*$CN$28</f>
        <v>5425199.7774801645</v>
      </c>
      <c r="CO4" s="646">
        <f t="shared" ref="CO4:CO27" si="20">CN4+CL4</f>
        <v>8375780.8641782217</v>
      </c>
      <c r="CP4" s="657">
        <f t="shared" ref="CP4:CP27" si="21">CO4/$CO$28</f>
        <v>0.33404624271459654</v>
      </c>
      <c r="CQ4" s="709">
        <f t="shared" ref="CQ4:CQ27" si="22">IF($AT4=0,0,ROUND(IF(VLOOKUP(CI4,$AQ$4:$AT$27,$AZ$30,FALSE)&lt;&gt;0,CO4/VLOOKUP(CI4,$AQ$4:$AT$27,$AZ$30,FALSE)*100,""),6))</f>
        <v>0.761494</v>
      </c>
      <c r="CU4" s="543">
        <v>1</v>
      </c>
      <c r="CV4" s="731" t="s">
        <v>375</v>
      </c>
      <c r="CW4" s="657">
        <v>0</v>
      </c>
      <c r="CX4" s="657">
        <v>0.5</v>
      </c>
      <c r="CY4" s="732">
        <v>0.5</v>
      </c>
      <c r="CZ4" s="646">
        <f>CW4*$DC4</f>
        <v>0</v>
      </c>
      <c r="DA4" s="646">
        <f t="shared" ref="CZ4:DB6" si="23">CX4*$DC4</f>
        <v>2448135.5093462113</v>
      </c>
      <c r="DB4" s="646">
        <f t="shared" si="23"/>
        <v>2448135.5093462113</v>
      </c>
      <c r="DC4" s="646">
        <v>4896271.0186924227</v>
      </c>
      <c r="DG4" s="545">
        <v>1</v>
      </c>
      <c r="DH4" s="739">
        <f t="shared" ref="DH4:DH27" si="24">FR4</f>
        <v>1</v>
      </c>
      <c r="DI4" s="655" t="s">
        <v>380</v>
      </c>
      <c r="DJ4" s="657">
        <f t="shared" ref="DJ4:DJ27" si="25">VLOOKUP(DH4,$CI$4:$CP$27,$DJ$33,FALSE)</f>
        <v>0.33404624271459654</v>
      </c>
      <c r="DK4" s="646">
        <f>DJ4*$DK$28</f>
        <v>125833.46073565143</v>
      </c>
      <c r="DL4" s="657">
        <f t="shared" ref="DL4:DL27" si="26">VLOOKUP(DH4,$J$4:$Q$27,$DL$33,FALSE)</f>
        <v>0.28238632123307916</v>
      </c>
      <c r="DM4" s="646">
        <f t="shared" ref="DM4:DM27" si="27">DL4*$DM$28</f>
        <v>691319.98036434711</v>
      </c>
      <c r="DN4" s="657">
        <f t="shared" ref="DN4:DN27" si="28">VLOOKUP(DH4,$J$4:$Q$27,$DN$33,FALSE)</f>
        <v>0.50336277323275536</v>
      </c>
      <c r="DO4" s="646">
        <f t="shared" ref="DO4:DO27" si="29">DN4*$DO$28</f>
        <v>1786366.0316929899</v>
      </c>
      <c r="DP4" s="646">
        <f>DK4+DM4+DO4</f>
        <v>2603519.4727929886</v>
      </c>
      <c r="DQ4" s="657">
        <f t="shared" ref="DQ4:DQ27" si="30">DP4/$DP$28</f>
        <v>0.40847887702414359</v>
      </c>
      <c r="DR4" s="709">
        <f t="shared" ref="DR4:DR27" si="31">IF($AT4=0,0,ROUND(IF(VLOOKUP(DH4,$AQ$4:$AT$27,$AZ$30,FALSE)&lt;&gt;0,DP4/VLOOKUP(DH4,$AQ$4:$AT$27,$AZ$30,FALSE)*100,""),6))</f>
        <v>0.236702</v>
      </c>
      <c r="DV4" s="545">
        <v>1</v>
      </c>
      <c r="DW4" s="739">
        <f t="shared" ref="DW4:DW27" si="32">GG4</f>
        <v>1</v>
      </c>
      <c r="DX4" s="655" t="s">
        <v>380</v>
      </c>
      <c r="DY4" s="657">
        <f t="shared" ref="DY4:DY27" si="33">VLOOKUP(DW4,$J$4:$Q$27,$DY$33,FALSE)</f>
        <v>0.28238632123307916</v>
      </c>
      <c r="DZ4" s="646">
        <f t="shared" ref="DZ4:DZ27" si="34">DY4*$DZ$28</f>
        <v>1133782.3248888913</v>
      </c>
      <c r="EA4" s="709">
        <f t="shared" ref="EA4:EA27" si="35">IF($AT4=0,0,ROUND(IF(VLOOKUP(DW4,$AQ$4:$AT$27,$AZ$30,FALSE)&lt;&gt;0,DZ4/VLOOKUP(DW4,$AQ$4:$AT$27,$AZ$30,FALSE)*100,""),6))</f>
        <v>0.103079</v>
      </c>
      <c r="EE4" s="543">
        <v>1</v>
      </c>
      <c r="EF4" s="655" t="s">
        <v>378</v>
      </c>
      <c r="EG4" s="646">
        <v>7182993.5611227266</v>
      </c>
      <c r="EH4" s="647">
        <f>EG4/$EG$7</f>
        <v>0.59682952418247304</v>
      </c>
      <c r="EI4" s="646">
        <f>EH4*$EI$7</f>
        <v>7827819.1756942505</v>
      </c>
      <c r="EM4" s="545">
        <v>1</v>
      </c>
      <c r="EN4" s="739">
        <f t="shared" ref="EN4:EN27" si="36">FR4</f>
        <v>1</v>
      </c>
      <c r="EO4" s="655" t="s">
        <v>380</v>
      </c>
      <c r="EP4" s="657">
        <f t="shared" ref="EP4:EP27" si="37">VLOOKUP(EN4,$V$4:$Y$27,$EP$33,FALSE)</f>
        <v>0.34372871407237693</v>
      </c>
      <c r="EQ4" s="646">
        <f t="shared" ref="EQ4:EQ27" si="38">EP4*$EQ$28</f>
        <v>2690646.2192524783</v>
      </c>
      <c r="ER4" s="657">
        <f t="shared" ref="ER4:ER27" si="39">VLOOKUP(EN4,$CI$4:$CP$27,$ER$33,FALSE)</f>
        <v>0.33404624271459654</v>
      </c>
      <c r="ES4" s="646">
        <f t="shared" ref="ES4:ES27" si="40">ER4*$ES$28</f>
        <v>337533.79773540585</v>
      </c>
      <c r="ET4" s="657">
        <f t="shared" ref="ET4:ET27" si="41">VLOOKUP(EN4,$J$4:$M$27,$ET$33,FALSE)</f>
        <v>0.50336277323275536</v>
      </c>
      <c r="EU4" s="646">
        <f t="shared" ref="EU4:EU27" si="42">ET4*$EU$28</f>
        <v>2153089.2817621287</v>
      </c>
      <c r="EV4" s="646">
        <f t="shared" ref="EV4:EV27" si="43">EQ4+ES4+EU4</f>
        <v>5181269.2987500131</v>
      </c>
      <c r="EW4" s="657">
        <f t="shared" ref="EW4:EW27" si="44">EV4/$EV$28</f>
        <v>0.3950441905755912</v>
      </c>
      <c r="EX4" s="709">
        <f t="shared" ref="EX4:EX27" si="45">IF($AT4=0,0,ROUND(IF(VLOOKUP(EN4,$AQ$4:$AT$27,$AZ$30,FALSE)&lt;&gt;0,EV4/VLOOKUP(EN4,$AQ$4:$AT$27,$AZ$30,FALSE)*100,""),6))</f>
        <v>0.47106100000000001</v>
      </c>
      <c r="FB4" s="543">
        <v>1</v>
      </c>
      <c r="FC4" s="645" t="s">
        <v>232</v>
      </c>
      <c r="FD4" s="646">
        <f>C11</f>
        <v>19979835.239455521</v>
      </c>
      <c r="FH4" s="545">
        <v>1</v>
      </c>
      <c r="FI4" s="669">
        <f t="shared" ref="FI4:FI27" si="46">FR4</f>
        <v>1</v>
      </c>
      <c r="FJ4" s="655" t="s">
        <v>380</v>
      </c>
      <c r="FK4" s="657">
        <f t="shared" ref="FK4:FK28" si="47">Y4</f>
        <v>0.34372871407237693</v>
      </c>
      <c r="FL4" s="646">
        <f t="shared" ref="FL4:FL27" si="48">Y4*$FL$28</f>
        <v>6752634.4732311787</v>
      </c>
      <c r="FM4" s="709">
        <f t="shared" ref="FM4:FM27" si="49">IF($AT4=0,0,ROUND(IF(VLOOKUP(FI4,$AQ$4:$AT$27,$AZ$30,FALSE)&lt;&gt;0,FL4/VLOOKUP(FI4,$AQ$4:$AT$27,$AZ$30,FALSE)*100,""),6))</f>
        <v>0.61392400000000003</v>
      </c>
      <c r="FQ4" s="543">
        <v>1</v>
      </c>
      <c r="FR4" s="669">
        <v>1</v>
      </c>
      <c r="FS4" s="655" t="s">
        <v>380</v>
      </c>
      <c r="FT4" s="646">
        <f t="shared" ref="FT4:FT27" si="50">VLOOKUP(FR4,$AQ$4:$AZ$27,$FT$33,FALSE)</f>
        <v>13216569.942502249</v>
      </c>
      <c r="FU4" s="646">
        <f t="shared" ref="FU4:FU27" si="51">VLOOKUP(FR4,$BL$4:$BS$86,$FU$33,FALSE)</f>
        <v>7850054.3898615511</v>
      </c>
      <c r="FV4" s="646">
        <f t="shared" ref="FV4:FV27" si="52">VLOOKUP(FR4,$CI$4:$CQ$27,$FV$33,FALSE)</f>
        <v>8375780.8641782217</v>
      </c>
      <c r="FW4" s="646">
        <f>VLOOKUP(FR4,$DH$4:$DP$27,$FW$33,FALSE)</f>
        <v>2603519.4727929886</v>
      </c>
      <c r="FX4" s="646">
        <f t="shared" ref="FX4:FX27" si="53">VLOOKUP(FR4,$DW$4:$EA$27,$FX$33,FALSE)</f>
        <v>1133782.3248888913</v>
      </c>
      <c r="FY4" s="646">
        <f t="shared" ref="FY4:FY27" si="54">VLOOKUP(FR4,$EN$4:$EV$28,$FY$34,FALSE)</f>
        <v>5181269.2987500131</v>
      </c>
      <c r="FZ4" s="646">
        <f t="shared" ref="FZ4:FZ27" si="55">VLOOKUP(FR4,$FI$4:$FL$27,$FZ$33,FALSE)</f>
        <v>6752634.4732311787</v>
      </c>
      <c r="GA4" s="646">
        <f t="shared" ref="GA4:GA24" si="56">SUM(FT4:FZ4)</f>
        <v>45113610.766205095</v>
      </c>
      <c r="GB4" s="746">
        <f t="shared" ref="GB4:GB27" si="57">IF($AT4=0,0,ROUND(IF(VLOOKUP(FR4,$AQ$4:$AT$27,$AZ$30,FALSE)&lt;&gt;0,GA4/VLOOKUP(FR4,$AQ$4:$AT$27,$AZ$30,FALSE)*100,""),6))</f>
        <v>4.1015560000000004</v>
      </c>
      <c r="GF4" s="545">
        <v>1</v>
      </c>
      <c r="GG4" s="669">
        <f t="shared" ref="GG4:GG27" si="58">FR4</f>
        <v>1</v>
      </c>
      <c r="GH4" s="655" t="s">
        <v>380</v>
      </c>
      <c r="GI4" s="709">
        <f t="shared" ref="GI4:GI27" si="59">VLOOKUP(GG4,$AQ$4:$AZ$27,$GI$31,FALSE)</f>
        <v>1.2016</v>
      </c>
      <c r="GJ4" s="709">
        <f t="shared" ref="GJ4:GJ27" si="60">VLOOKUP(GG4,$BL$4:$BS$27,$GJ$31,FALSE)</f>
        <v>0.71369700000000003</v>
      </c>
      <c r="GK4" s="709">
        <f t="shared" ref="GK4:GK27" si="61">VLOOKUP(GG4,$CI$4:$CQ$27,$GK$31,FALSE)</f>
        <v>0.761494</v>
      </c>
      <c r="GL4" s="709">
        <f t="shared" ref="GL4:GL27" si="62">VLOOKUP(GG4,$DH$4:$DR$27,$GL$31,FALSE)</f>
        <v>0.236702</v>
      </c>
      <c r="GM4" s="709">
        <f t="shared" ref="GM4:GM27" si="63">VLOOKUP(GG4,$DW$4:$EA$27,$GM$31,FALSE)</f>
        <v>0.103079</v>
      </c>
      <c r="GN4" s="709">
        <f t="shared" ref="GN4:GN27" si="64">VLOOKUP(GG4,$EN$4:$EX$28,$GN$31,FALSE)</f>
        <v>0.47106100000000001</v>
      </c>
      <c r="GO4" s="709">
        <f t="shared" ref="GO4:GO27" si="65">VLOOKUP(GG4,$FI$4:$FM$27,$GO$31,FALSE)</f>
        <v>0.61392400000000003</v>
      </c>
      <c r="GP4" s="709">
        <f t="shared" ref="GP4:GP27" si="66">VLOOKUP(GG4,$FR$4:$GB$27,$GP$31,FALSE)</f>
        <v>4.1015560000000004</v>
      </c>
      <c r="GQ4" s="656">
        <f>L4</f>
        <v>1099914562.8562493</v>
      </c>
      <c r="GR4" s="530"/>
      <c r="GU4" s="543">
        <v>1</v>
      </c>
      <c r="GV4" s="669">
        <f t="shared" ref="GV4:GV27" si="67">FR4</f>
        <v>1</v>
      </c>
      <c r="GW4" s="655" t="s">
        <v>380</v>
      </c>
      <c r="GX4" s="658" t="s">
        <v>379</v>
      </c>
      <c r="GY4" s="646">
        <f t="shared" ref="GY4:GY27" si="68">GA4</f>
        <v>45113610.766205095</v>
      </c>
      <c r="GZ4" s="656">
        <f t="shared" ref="GZ4:GZ27" si="69">VLOOKUP(GV4,$GG$4:$GQ$27,$GZ$34,FALSE)</f>
        <v>1099914562.8562493</v>
      </c>
      <c r="HA4" s="709">
        <f>IF(GW4="Specialty Containers",$HA$31,ROUND(IF(GZ4&lt;&gt;0,GY4/GZ4*100,0),6))</f>
        <v>4.1015560000000004</v>
      </c>
      <c r="HB4" s="646">
        <f t="shared" ref="HB4:HB27" si="70">ROUND(HA4,10)*GZ4/100</f>
        <v>45113611.747704268</v>
      </c>
      <c r="HC4" s="749">
        <f t="shared" ref="HC4:HC27" si="71">HB4-GY4</f>
        <v>0.98149917274713516</v>
      </c>
      <c r="HD4" s="549"/>
      <c r="HG4" s="543">
        <v>1</v>
      </c>
      <c r="HH4" s="655" t="s">
        <v>379</v>
      </c>
      <c r="HI4" s="752">
        <f>SUMIF($GX$4:$GX$27,$HH4,GY$4:GY$27)</f>
        <v>127136977.52900629</v>
      </c>
      <c r="HJ4" s="753">
        <f>HI4/HI$6</f>
        <v>0.98334980760462076</v>
      </c>
      <c r="HK4" s="752">
        <f>SUMIF($GX$4:$GX$27,$HH4,HB$4:HB$27)</f>
        <v>127136975.9090526</v>
      </c>
      <c r="HL4" s="749">
        <f>SUMIF($GX$4:$GX$27,$HH4,HC$4:HC$27)</f>
        <v>-1.6199536670903854</v>
      </c>
      <c r="HM4" s="549"/>
      <c r="HP4" s="545">
        <v>1</v>
      </c>
      <c r="HQ4" s="761">
        <f t="shared" ref="HQ4:HQ27" si="72">FR4</f>
        <v>1</v>
      </c>
      <c r="HR4" s="655" t="s">
        <v>380</v>
      </c>
      <c r="HS4" s="656">
        <f>L4</f>
        <v>1099914562.8562493</v>
      </c>
      <c r="HT4" s="756">
        <f>HA4</f>
        <v>4.1015560000000004</v>
      </c>
      <c r="HU4" s="756">
        <v>3.5634269999999999</v>
      </c>
      <c r="HV4" s="647">
        <f>IF(HU4&lt;&gt;0,HT4/HU4-1,"")</f>
        <v>0.15101445883415043</v>
      </c>
      <c r="HW4" s="756">
        <f>HT4-HU4</f>
        <v>0.53812900000000052</v>
      </c>
      <c r="HX4" s="648">
        <v>10</v>
      </c>
      <c r="IB4" s="764">
        <f>'ABDA 8 month Phase I'!HE26</f>
        <v>2194071252</v>
      </c>
      <c r="IC4" s="764">
        <f>'ABDA 8 month Phase I'!JI26</f>
        <v>2185132912.7743182</v>
      </c>
      <c r="ID4" s="765">
        <f>(IC4-IB4)/IB4</f>
        <v>-4.0738600524181066E-3</v>
      </c>
      <c r="IE4" s="764">
        <v>1500000</v>
      </c>
      <c r="IF4" s="766">
        <f>HT28</f>
        <v>5.9167876299434248</v>
      </c>
      <c r="IG4" s="767">
        <f>IF4*IC4/100</f>
        <v>129289673.88085331</v>
      </c>
      <c r="IH4" s="768">
        <v>1.4999999999999999E-2</v>
      </c>
      <c r="II4" s="990">
        <v>316639920</v>
      </c>
      <c r="IJ4" s="765">
        <f>II4/IC4</f>
        <v>0.14490648058473629</v>
      </c>
      <c r="IK4" s="765">
        <f>SUM(HS8,HS15,HS17,HS23:HS24,HS27)/HS28</f>
        <v>1.3073883791475895E-2</v>
      </c>
      <c r="IO4" s="545">
        <v>1</v>
      </c>
      <c r="IP4" s="761">
        <v>1</v>
      </c>
      <c r="IQ4" s="655" t="s">
        <v>380</v>
      </c>
      <c r="IR4" s="769">
        <f>GY4</f>
        <v>45113610.766205095</v>
      </c>
      <c r="IS4" s="770">
        <f>GZ4</f>
        <v>1099914562.8562493</v>
      </c>
      <c r="IT4" s="771">
        <f>HA4</f>
        <v>4.1015560000000004</v>
      </c>
      <c r="IU4" s="656">
        <f>IS4*$IJ$4/(1-$IK$4)</f>
        <v>161496129.88225147</v>
      </c>
      <c r="IV4" s="656">
        <f>IS4-IU4</f>
        <v>938418432.97399783</v>
      </c>
      <c r="IW4" s="769">
        <f>IU4*$IH$4</f>
        <v>2422441.9482337721</v>
      </c>
      <c r="IX4" s="769">
        <f>IR4-IW4</f>
        <v>42691168.817971319</v>
      </c>
      <c r="IY4" s="550">
        <f>IX4/IS4*100</f>
        <v>3.8813168094721138</v>
      </c>
      <c r="IZ4" s="550">
        <f>IY4+1.5</f>
        <v>5.3813168094721142</v>
      </c>
      <c r="JA4" s="769">
        <f>(IY4*IV4+IZ4*IU4)/100</f>
        <v>45113610.766205102</v>
      </c>
      <c r="JB4" s="746">
        <f>IT4-IY4</f>
        <v>0.22023919052788665</v>
      </c>
      <c r="JF4" s="545">
        <v>1</v>
      </c>
      <c r="JG4" s="761">
        <f t="shared" ref="JG4:JG27" si="73">FR4</f>
        <v>1</v>
      </c>
      <c r="JH4" s="655" t="s">
        <v>380</v>
      </c>
      <c r="JI4" s="656">
        <f>L4</f>
        <v>1099914562.8562493</v>
      </c>
      <c r="JJ4" s="756">
        <f>IY4</f>
        <v>3.8813168094721138</v>
      </c>
      <c r="JK4" s="756">
        <v>3.3411942282427152</v>
      </c>
      <c r="JL4" s="647">
        <f>IF(JK4&lt;&gt;0,JJ4/JK4-1,"")</f>
        <v>0.16165554718842956</v>
      </c>
      <c r="JM4" s="756">
        <f>JJ4-JK4</f>
        <v>0.5401225812293986</v>
      </c>
      <c r="JN4" s="648">
        <v>10</v>
      </c>
      <c r="JS4" s="756">
        <v>3.8846481496862171</v>
      </c>
      <c r="JT4" s="756">
        <f>JJ4-JS4</f>
        <v>-3.3313402141033066E-3</v>
      </c>
      <c r="JU4" s="1009">
        <v>1105379295</v>
      </c>
      <c r="JV4" s="1009">
        <f>JU4-JI4</f>
        <v>5464732.1437506676</v>
      </c>
      <c r="JW4" s="978">
        <f>JT4/JS4</f>
        <v>-8.5756549518452426E-4</v>
      </c>
      <c r="JX4" s="997">
        <v>42940096.330232054</v>
      </c>
      <c r="JY4" s="997">
        <f>JI4*JJ4/100</f>
        <v>42691168.817971326</v>
      </c>
      <c r="JZ4" s="516"/>
      <c r="KA4" s="516" t="s">
        <v>442</v>
      </c>
      <c r="KB4" s="997">
        <f>SUMPRODUCT(JV4:JV27,JS4:JS27)/100</f>
        <v>-205406.91638278001</v>
      </c>
      <c r="KC4" s="516"/>
      <c r="KE4" s="516"/>
      <c r="KF4" s="516"/>
    </row>
    <row r="5" spans="1:292" ht="16.5" x14ac:dyDescent="0.3">
      <c r="A5" s="222">
        <v>2</v>
      </c>
      <c r="B5" s="649" t="s">
        <v>57</v>
      </c>
      <c r="C5" s="650">
        <f>'ABDA 8 month Phase I'!MC15</f>
        <v>1985779.5732121689</v>
      </c>
      <c r="D5" s="651">
        <f t="shared" si="0"/>
        <v>1.5362596093005351E-2</v>
      </c>
      <c r="E5" s="986">
        <v>9.0876832324627621E-2</v>
      </c>
      <c r="I5" s="222">
        <f>+I4+1</f>
        <v>2</v>
      </c>
      <c r="J5" s="659">
        <f t="shared" si="1"/>
        <v>2</v>
      </c>
      <c r="K5" s="660" t="s">
        <v>385</v>
      </c>
      <c r="L5" s="991">
        <v>980861.97762179282</v>
      </c>
      <c r="M5" s="662">
        <f t="shared" si="2"/>
        <v>4.4887977838220262E-4</v>
      </c>
      <c r="N5" s="661">
        <v>114</v>
      </c>
      <c r="O5" s="661">
        <f t="shared" ref="O5:O27" si="74">IFERROR(L5/N5,0)</f>
        <v>8604.0524352788852</v>
      </c>
      <c r="P5" s="662">
        <f t="shared" si="3"/>
        <v>4.8442481677196635E-3</v>
      </c>
      <c r="Q5" s="663" t="s">
        <v>379</v>
      </c>
      <c r="U5" s="551">
        <f>+U4+1</f>
        <v>2</v>
      </c>
      <c r="V5" s="670">
        <f t="shared" si="4"/>
        <v>2</v>
      </c>
      <c r="W5" s="660" t="s">
        <v>385</v>
      </c>
      <c r="X5" s="671">
        <f t="shared" ref="X5:X27" si="75">SUM(FT5:FX5)</f>
        <v>345989.72724864777</v>
      </c>
      <c r="Y5" s="662">
        <f t="shared" si="5"/>
        <v>3.5843174880999854E-3</v>
      </c>
      <c r="AC5" s="551">
        <f>+AC4+1</f>
        <v>2</v>
      </c>
      <c r="AD5" s="681">
        <v>2</v>
      </c>
      <c r="AE5" s="682" t="s">
        <v>385</v>
      </c>
      <c r="AF5" s="683">
        <v>28.35</v>
      </c>
      <c r="AJ5" s="551">
        <f t="shared" ref="AJ5:AJ7" si="76">+AJ4+1</f>
        <v>2</v>
      </c>
      <c r="AK5" s="688" t="s">
        <v>381</v>
      </c>
      <c r="AL5" s="690">
        <f>'ABDA 8 month Phase I'!AH19+'ABDA 8 month Phase I'!AI19</f>
        <v>1940159.9106851809</v>
      </c>
      <c r="AM5" s="546"/>
      <c r="AN5" s="547"/>
      <c r="AO5" s="546"/>
      <c r="AP5" s="551">
        <f t="shared" ref="AP5:AP27" si="77">+AP4+1</f>
        <v>2</v>
      </c>
      <c r="AQ5" s="697">
        <f t="shared" si="6"/>
        <v>2</v>
      </c>
      <c r="AR5" s="660" t="s">
        <v>385</v>
      </c>
      <c r="AS5" s="660">
        <f t="shared" si="7"/>
        <v>28.35</v>
      </c>
      <c r="AT5" s="698">
        <f t="shared" ref="AT5:AT27" si="78">L5</f>
        <v>980861.97762179282</v>
      </c>
      <c r="AU5" s="698">
        <f>AT5*AS5/3600</f>
        <v>7724.2880737716187</v>
      </c>
      <c r="AV5" s="699">
        <f t="shared" si="8"/>
        <v>7976.5654363522326</v>
      </c>
      <c r="AW5" s="700">
        <f t="shared" si="9"/>
        <v>21.592508896755891</v>
      </c>
      <c r="AX5" s="671">
        <f>AV5*AW5</f>
        <v>172234.06014999113</v>
      </c>
      <c r="AY5" s="465">
        <f t="shared" ref="AY5:AY28" si="79">AX5/$AX$28</f>
        <v>4.1112927818074824E-3</v>
      </c>
      <c r="AZ5" s="553">
        <f t="shared" si="10"/>
        <v>17.559459</v>
      </c>
      <c r="BD5" s="222">
        <v>2</v>
      </c>
      <c r="BE5" s="665" t="s">
        <v>317</v>
      </c>
      <c r="BF5" s="667">
        <v>0.5</v>
      </c>
      <c r="BG5" s="707">
        <f>BF5*$BG$6</f>
        <v>9586712.8881295025</v>
      </c>
      <c r="BK5" s="222">
        <f>+BK4+1</f>
        <v>2</v>
      </c>
      <c r="BL5" s="663">
        <f t="shared" si="11"/>
        <v>2</v>
      </c>
      <c r="BM5" s="660" t="s">
        <v>385</v>
      </c>
      <c r="BN5" s="662">
        <f t="shared" ref="BN5:BN27" si="80">VLOOKUP(BL5,$AQ$4:$AY$28,$BN$33,FALSE)</f>
        <v>4.1112927818074824E-3</v>
      </c>
      <c r="BO5" s="671">
        <f t="shared" ref="BO5:BO27" si="81">BN5*$BO$28</f>
        <v>39413.783498227589</v>
      </c>
      <c r="BP5" s="662">
        <f t="shared" ref="BP5:BP27" si="82">VLOOKUP(BL5,$J$4:$M$27,$BP$33,FALSE)</f>
        <v>4.4887977838220262E-4</v>
      </c>
      <c r="BQ5" s="671">
        <f t="shared" ref="BQ5:BQ27" si="83">BP5*$BQ$28</f>
        <v>4303.2815566373765</v>
      </c>
      <c r="BR5" s="710">
        <f t="shared" si="12"/>
        <v>43717.065054864965</v>
      </c>
      <c r="BS5" s="711">
        <f t="shared" si="13"/>
        <v>4.4570049999999997</v>
      </c>
      <c r="BW5" s="222">
        <f>+BW4+1</f>
        <v>2</v>
      </c>
      <c r="BX5" s="660" t="s">
        <v>382</v>
      </c>
      <c r="BY5" s="716">
        <v>0.15813243766864218</v>
      </c>
      <c r="BZ5" s="717">
        <f>BY5*$BZ$9</f>
        <v>3964967.9477535193</v>
      </c>
      <c r="CA5" s="718">
        <v>1</v>
      </c>
      <c r="CB5" s="718"/>
      <c r="CC5" s="717">
        <f>CA5*$BZ5</f>
        <v>3964967.9477535193</v>
      </c>
      <c r="CD5" s="717">
        <f t="shared" si="14"/>
        <v>0</v>
      </c>
      <c r="CH5" s="222">
        <f>+CH4+1</f>
        <v>2</v>
      </c>
      <c r="CI5" s="681">
        <f t="shared" si="15"/>
        <v>2</v>
      </c>
      <c r="CJ5" s="660" t="s">
        <v>385</v>
      </c>
      <c r="CK5" s="723">
        <f t="shared" si="16"/>
        <v>4.4887977838220262E-4</v>
      </c>
      <c r="CL5" s="650">
        <f t="shared" si="17"/>
        <v>2631.2160031018279</v>
      </c>
      <c r="CM5" s="723">
        <f t="shared" si="18"/>
        <v>4.8442481677196635E-3</v>
      </c>
      <c r="CN5" s="650">
        <f t="shared" si="19"/>
        <v>93067.588992312769</v>
      </c>
      <c r="CO5" s="650">
        <f t="shared" si="20"/>
        <v>95698.804995414597</v>
      </c>
      <c r="CP5" s="723">
        <f t="shared" si="21"/>
        <v>3.8166980200874186E-3</v>
      </c>
      <c r="CQ5" s="724">
        <f t="shared" si="22"/>
        <v>9.7566030000000001</v>
      </c>
      <c r="CU5" s="222">
        <f>+CU4+1</f>
        <v>2</v>
      </c>
      <c r="CV5" s="733" t="s">
        <v>49</v>
      </c>
      <c r="CW5" s="723">
        <v>1</v>
      </c>
      <c r="CX5" s="723">
        <v>0</v>
      </c>
      <c r="CY5" s="734">
        <v>0</v>
      </c>
      <c r="CZ5" s="650">
        <f t="shared" si="23"/>
        <v>376694.73457649816</v>
      </c>
      <c r="DA5" s="650">
        <f t="shared" si="23"/>
        <v>0</v>
      </c>
      <c r="DB5" s="650">
        <f t="shared" si="23"/>
        <v>0</v>
      </c>
      <c r="DC5" s="650">
        <v>376694.73457649816</v>
      </c>
      <c r="DG5" s="551">
        <f>+DG4+1</f>
        <v>2</v>
      </c>
      <c r="DH5" s="677">
        <f t="shared" si="24"/>
        <v>2</v>
      </c>
      <c r="DI5" s="660" t="s">
        <v>385</v>
      </c>
      <c r="DJ5" s="723">
        <f>VLOOKUP(DH5,$CI$4:$CP$27,$DJ$33,FALSE)</f>
        <v>3.8166980200874186E-3</v>
      </c>
      <c r="DK5" s="650">
        <f t="shared" ref="DK5:DK27" si="84">DJ5*$DK$28</f>
        <v>1437.7300476354762</v>
      </c>
      <c r="DL5" s="723">
        <f t="shared" si="26"/>
        <v>4.8442481677196635E-3</v>
      </c>
      <c r="DM5" s="650">
        <f t="shared" si="27"/>
        <v>11859.375955479829</v>
      </c>
      <c r="DN5" s="723">
        <f t="shared" si="28"/>
        <v>4.4887977838220262E-4</v>
      </c>
      <c r="DO5" s="650">
        <f t="shared" si="29"/>
        <v>1593.0132919167258</v>
      </c>
      <c r="DP5" s="650">
        <f t="shared" ref="DP5:DP27" si="85">DK5+DM5+DO5</f>
        <v>14890.119295032031</v>
      </c>
      <c r="DQ5" s="723">
        <f t="shared" si="30"/>
        <v>2.336183490060584E-3</v>
      </c>
      <c r="DR5" s="724">
        <f t="shared" si="31"/>
        <v>1.518065</v>
      </c>
      <c r="DV5" s="551">
        <f>+DV4+1</f>
        <v>2</v>
      </c>
      <c r="DW5" s="677">
        <f t="shared" si="32"/>
        <v>2</v>
      </c>
      <c r="DX5" s="660" t="s">
        <v>385</v>
      </c>
      <c r="DY5" s="723">
        <f t="shared" si="33"/>
        <v>4.8442481677196635E-3</v>
      </c>
      <c r="DZ5" s="650">
        <f t="shared" si="34"/>
        <v>19449.677753344989</v>
      </c>
      <c r="EA5" s="724">
        <f t="shared" si="35"/>
        <v>1.982917</v>
      </c>
      <c r="EE5" s="222">
        <v>2</v>
      </c>
      <c r="EF5" s="660" t="s">
        <v>49</v>
      </c>
      <c r="EG5" s="650">
        <v>927204.15030545439</v>
      </c>
      <c r="EH5" s="651">
        <f>EG5/$EG$7</f>
        <v>7.7040694403786011E-2</v>
      </c>
      <c r="EI5" s="650">
        <f>EH5*$EI$7</f>
        <v>1010440.3360219471</v>
      </c>
      <c r="EM5" s="551">
        <f>+EM4+1</f>
        <v>2</v>
      </c>
      <c r="EN5" s="677">
        <f t="shared" si="36"/>
        <v>2</v>
      </c>
      <c r="EO5" s="660" t="s">
        <v>385</v>
      </c>
      <c r="EP5" s="723">
        <f t="shared" si="37"/>
        <v>3.5843174880999854E-3</v>
      </c>
      <c r="EQ5" s="650">
        <f t="shared" si="38"/>
        <v>28057.389165125314</v>
      </c>
      <c r="ER5" s="723">
        <f t="shared" si="39"/>
        <v>3.8166980200874186E-3</v>
      </c>
      <c r="ES5" s="650">
        <f t="shared" si="40"/>
        <v>3856.5456299114312</v>
      </c>
      <c r="ET5" s="723">
        <f t="shared" si="41"/>
        <v>4.4887977838220262E-4</v>
      </c>
      <c r="EU5" s="650">
        <f t="shared" si="42"/>
        <v>1920.0431399156723</v>
      </c>
      <c r="EV5" s="650">
        <f t="shared" si="43"/>
        <v>33833.977934952418</v>
      </c>
      <c r="EW5" s="723">
        <f t="shared" si="44"/>
        <v>2.5796606307435578E-3</v>
      </c>
      <c r="EX5" s="724">
        <f t="shared" si="45"/>
        <v>3.4494129999999998</v>
      </c>
      <c r="FB5" s="297">
        <v>2</v>
      </c>
      <c r="FC5" s="745" t="s">
        <v>383</v>
      </c>
      <c r="FD5" s="727">
        <f>C12</f>
        <v>-334591.19444007974</v>
      </c>
      <c r="FH5" s="551">
        <f>+FH4+1</f>
        <v>2</v>
      </c>
      <c r="FI5" s="670">
        <f t="shared" si="46"/>
        <v>2</v>
      </c>
      <c r="FJ5" s="660" t="s">
        <v>385</v>
      </c>
      <c r="FK5" s="723">
        <f t="shared" si="47"/>
        <v>3.5843174880999854E-3</v>
      </c>
      <c r="FL5" s="650">
        <f t="shared" si="48"/>
        <v>70414.791788540955</v>
      </c>
      <c r="FM5" s="724">
        <f t="shared" si="49"/>
        <v>7.1788689999999997</v>
      </c>
      <c r="FQ5" s="222">
        <f t="shared" ref="FQ5:FQ13" si="86">+FQ4+1</f>
        <v>2</v>
      </c>
      <c r="FR5" s="670">
        <v>2</v>
      </c>
      <c r="FS5" s="660" t="s">
        <v>385</v>
      </c>
      <c r="FT5" s="650">
        <f t="shared" si="50"/>
        <v>172234.06014999113</v>
      </c>
      <c r="FU5" s="650">
        <f t="shared" si="51"/>
        <v>43717.065054864965</v>
      </c>
      <c r="FV5" s="650">
        <f t="shared" si="52"/>
        <v>95698.804995414597</v>
      </c>
      <c r="FW5" s="650">
        <f t="shared" ref="FW5:FW27" si="87">VLOOKUP(FR5,$DH$4:$DP$27,$FW$33,FALSE)</f>
        <v>14890.119295032031</v>
      </c>
      <c r="FX5" s="650">
        <f t="shared" si="53"/>
        <v>19449.677753344989</v>
      </c>
      <c r="FY5" s="650">
        <f t="shared" si="54"/>
        <v>33833.977934952418</v>
      </c>
      <c r="FZ5" s="650">
        <f t="shared" si="55"/>
        <v>70414.791788540955</v>
      </c>
      <c r="GA5" s="650">
        <f t="shared" si="56"/>
        <v>450238.49697214115</v>
      </c>
      <c r="GB5" s="747">
        <f t="shared" si="57"/>
        <v>45.902329999999999</v>
      </c>
      <c r="GF5" s="551">
        <f t="shared" ref="GF5:GF27" si="88">+GF4+1</f>
        <v>2</v>
      </c>
      <c r="GG5" s="670">
        <f t="shared" si="58"/>
        <v>2</v>
      </c>
      <c r="GH5" s="660" t="s">
        <v>385</v>
      </c>
      <c r="GI5" s="724">
        <f t="shared" si="59"/>
        <v>17.559459</v>
      </c>
      <c r="GJ5" s="724">
        <f t="shared" si="60"/>
        <v>4.4570049999999997</v>
      </c>
      <c r="GK5" s="724">
        <f t="shared" si="61"/>
        <v>9.7566030000000001</v>
      </c>
      <c r="GL5" s="724">
        <f t="shared" si="62"/>
        <v>1.518065</v>
      </c>
      <c r="GM5" s="724">
        <f t="shared" si="63"/>
        <v>1.982917</v>
      </c>
      <c r="GN5" s="724">
        <f t="shared" si="64"/>
        <v>3.4494129999999998</v>
      </c>
      <c r="GO5" s="724">
        <f t="shared" si="65"/>
        <v>7.1788689999999997</v>
      </c>
      <c r="GP5" s="724">
        <f t="shared" si="66"/>
        <v>45.902329999999999</v>
      </c>
      <c r="GQ5" s="661">
        <f t="shared" ref="GQ5:GQ27" si="89">L5</f>
        <v>980861.97762179282</v>
      </c>
      <c r="GR5" s="530"/>
      <c r="GU5" s="222">
        <f t="shared" ref="GU5:GU27" si="90">+GU4+1</f>
        <v>2</v>
      </c>
      <c r="GV5" s="670">
        <f t="shared" si="67"/>
        <v>2</v>
      </c>
      <c r="GW5" s="660" t="s">
        <v>385</v>
      </c>
      <c r="GX5" s="663" t="s">
        <v>379</v>
      </c>
      <c r="GY5" s="671">
        <f t="shared" si="68"/>
        <v>450238.49697214115</v>
      </c>
      <c r="GZ5" s="661">
        <f t="shared" si="69"/>
        <v>980861.97762179282</v>
      </c>
      <c r="HA5" s="724">
        <f t="shared" ref="HA5:HA27" si="91">IF(GW5="Specialty Containers",$HA$31,ROUND(IF(GZ5&lt;&gt;0,GY5/GZ5*100,0),6))</f>
        <v>45.902329999999999</v>
      </c>
      <c r="HB5" s="650">
        <f t="shared" si="70"/>
        <v>450238.5018124815</v>
      </c>
      <c r="HC5" s="750">
        <f t="shared" si="71"/>
        <v>4.8403403488919139E-3</v>
      </c>
      <c r="HD5" s="549"/>
      <c r="HG5" s="297">
        <v>2</v>
      </c>
      <c r="HH5" s="665" t="s">
        <v>384</v>
      </c>
      <c r="HI5" s="754">
        <f>SUMIF($GX$4:$GX$27,$HH5,GY$4:GY$27)</f>
        <v>2152697.9718249864</v>
      </c>
      <c r="HJ5" s="755">
        <f>HI5/HI$6</f>
        <v>1.6650192395379206E-2</v>
      </c>
      <c r="HK5" s="754">
        <f>SUMIF($GX$4:$GX$27,$HH5,HB$4:HB$27)</f>
        <v>2152697.9718007091</v>
      </c>
      <c r="HL5" s="751">
        <f>SUMIF($GX$4:$GX$27,$HH5,HC$4:HC$27)</f>
        <v>-2.4277367629110813E-5</v>
      </c>
      <c r="HM5" s="549"/>
      <c r="HP5" s="551">
        <f>+HP4+1</f>
        <v>2</v>
      </c>
      <c r="HQ5" s="762">
        <f t="shared" si="72"/>
        <v>2</v>
      </c>
      <c r="HR5" s="660" t="s">
        <v>385</v>
      </c>
      <c r="HS5" s="661">
        <f t="shared" ref="HS5:HS27" si="92">L5</f>
        <v>980861.97762179282</v>
      </c>
      <c r="HT5" s="757">
        <f t="shared" ref="HT5:HT27" si="93">HA5</f>
        <v>45.902329999999999</v>
      </c>
      <c r="HU5" s="757">
        <v>41.377299000000001</v>
      </c>
      <c r="HV5" s="651">
        <f t="shared" ref="HV5:HV27" si="94">IF(HU5&lt;&gt;0,HT5/HU5-1,"")</f>
        <v>0.10936023156078889</v>
      </c>
      <c r="HW5" s="757">
        <f t="shared" ref="HW5:HW28" si="95">HT5-HU5</f>
        <v>4.5250309999999985</v>
      </c>
      <c r="HX5" s="652">
        <v>25</v>
      </c>
      <c r="IO5" s="551">
        <v>2</v>
      </c>
      <c r="IP5" s="762">
        <v>2</v>
      </c>
      <c r="IQ5" s="660" t="s">
        <v>385</v>
      </c>
      <c r="IR5" s="772">
        <f t="shared" ref="IR5:IT27" si="96">GY5</f>
        <v>450238.49697214115</v>
      </c>
      <c r="IS5" s="773">
        <f t="shared" si="96"/>
        <v>980861.97762179282</v>
      </c>
      <c r="IT5" s="774">
        <f t="shared" si="96"/>
        <v>45.902329999999999</v>
      </c>
      <c r="IU5" s="661">
        <f t="shared" ref="IU5:IU26" si="97">IS5*$IJ$4/(1-$IK$4)</f>
        <v>144016.10696309461</v>
      </c>
      <c r="IV5" s="661">
        <f t="shared" ref="IV5:IV27" si="98">IS5-IU5</f>
        <v>836845.87065869826</v>
      </c>
      <c r="IW5" s="772">
        <f t="shared" ref="IW5:IW27" si="99">IU5*$IH$4</f>
        <v>2160.2416044464189</v>
      </c>
      <c r="IX5" s="772">
        <f t="shared" ref="IX5:IX27" si="100">IR5-IW5</f>
        <v>448078.25536769471</v>
      </c>
      <c r="IY5" s="455">
        <f t="shared" ref="IY5:IY25" si="101">IX5/IS5*100</f>
        <v>45.68209040522801</v>
      </c>
      <c r="IZ5" s="555">
        <f t="shared" ref="IZ5:IZ26" si="102">IY5+1.5</f>
        <v>47.18209040522801</v>
      </c>
      <c r="JA5" s="772">
        <f t="shared" ref="JA5:JA27" si="103">(IY5*IV5+IZ5*IU5)/100</f>
        <v>450238.49697214121</v>
      </c>
      <c r="JB5" s="778">
        <f t="shared" ref="JB5:JB27" si="104">IT5-IY5</f>
        <v>0.22023959477198929</v>
      </c>
      <c r="JF5" s="551">
        <f>+JF4+1</f>
        <v>2</v>
      </c>
      <c r="JG5" s="762">
        <f t="shared" si="73"/>
        <v>2</v>
      </c>
      <c r="JH5" s="660" t="s">
        <v>385</v>
      </c>
      <c r="JI5" s="661">
        <f t="shared" ref="JI5:JI27" si="105">L5</f>
        <v>980861.97762179282</v>
      </c>
      <c r="JJ5" s="757">
        <f t="shared" ref="JJ5:JJ27" si="106">IY5</f>
        <v>45.68209040522801</v>
      </c>
      <c r="JK5" s="757">
        <v>41.15506612786816</v>
      </c>
      <c r="JL5" s="651">
        <f t="shared" ref="JL5" si="107">IF(JK5&lt;&gt;0,JJ5/JK5-1,"")</f>
        <v>0.10999919823465842</v>
      </c>
      <c r="JM5" s="757">
        <f t="shared" ref="JM5:JM28" si="108">JJ5-JK5</f>
        <v>4.5270242773598497</v>
      </c>
      <c r="JN5" s="652">
        <v>25</v>
      </c>
      <c r="JS5" s="757">
        <v>45.730487229304238</v>
      </c>
      <c r="JT5" s="757">
        <f t="shared" ref="JT5:JT28" si="109">JJ5-JS5</f>
        <v>-4.8396824076228029E-2</v>
      </c>
      <c r="JU5" s="1010">
        <v>940536</v>
      </c>
      <c r="JV5" s="1010">
        <f t="shared" ref="JV5:JV26" si="110">JU5-JI5</f>
        <v>-40325.977621792816</v>
      </c>
      <c r="JW5" s="978">
        <f>JT5/JS5</f>
        <v>-1.0583054545986817E-3</v>
      </c>
      <c r="JX5" s="997">
        <v>430111.69536700891</v>
      </c>
      <c r="JY5" s="997">
        <f t="shared" ref="JY5:JY28" si="111">JI5*JJ5/100</f>
        <v>448078.25536769471</v>
      </c>
      <c r="JZ5" s="516"/>
      <c r="KA5" s="516" t="s">
        <v>443</v>
      </c>
      <c r="KB5" s="997">
        <f>SUMPRODUCT(JT4:JT27,JI4:JI27)/100</f>
        <v>-110617.99282551203</v>
      </c>
      <c r="KC5" s="516"/>
      <c r="KE5" s="516"/>
      <c r="KF5" s="516"/>
    </row>
    <row r="6" spans="1:292" ht="17.25" thickBot="1" x14ac:dyDescent="0.35">
      <c r="A6" s="543">
        <v>3</v>
      </c>
      <c r="B6" s="645" t="s">
        <v>48</v>
      </c>
      <c r="C6" s="646">
        <f>'ABDA 8 month Phase I'!MC16</f>
        <v>19173425.776259005</v>
      </c>
      <c r="D6" s="647">
        <f t="shared" si="0"/>
        <v>0.1483314663386425</v>
      </c>
      <c r="E6" s="986">
        <v>0.87345682084506993</v>
      </c>
      <c r="I6" s="543">
        <f t="shared" ref="I6:I21" si="112">+I5+1</f>
        <v>3</v>
      </c>
      <c r="J6" s="654">
        <f t="shared" si="1"/>
        <v>3</v>
      </c>
      <c r="K6" s="655" t="s">
        <v>389</v>
      </c>
      <c r="L6" s="991">
        <v>3137059.658360593</v>
      </c>
      <c r="M6" s="657">
        <f t="shared" si="2"/>
        <v>1.4356379147562593E-3</v>
      </c>
      <c r="N6" s="656">
        <v>816</v>
      </c>
      <c r="O6" s="656">
        <f t="shared" si="74"/>
        <v>3844.43585583406</v>
      </c>
      <c r="P6" s="657">
        <f t="shared" si="3"/>
        <v>2.1644918473740426E-3</v>
      </c>
      <c r="Q6" s="658" t="s">
        <v>379</v>
      </c>
      <c r="U6" s="545">
        <f t="shared" ref="U6:U27" si="113">+U5+1</f>
        <v>3</v>
      </c>
      <c r="V6" s="669">
        <f t="shared" si="4"/>
        <v>3</v>
      </c>
      <c r="W6" s="655" t="s">
        <v>389</v>
      </c>
      <c r="X6" s="646">
        <f t="shared" si="75"/>
        <v>233782.93041260628</v>
      </c>
      <c r="Y6" s="657">
        <f t="shared" si="5"/>
        <v>2.4218992065477333E-3</v>
      </c>
      <c r="AC6" s="545">
        <f t="shared" ref="AC6:AC27" si="114">+AC5+1</f>
        <v>3</v>
      </c>
      <c r="AD6" s="678">
        <v>3</v>
      </c>
      <c r="AE6" s="679" t="s">
        <v>389</v>
      </c>
      <c r="AF6" s="680">
        <v>6.29</v>
      </c>
      <c r="AJ6" s="545">
        <f t="shared" si="76"/>
        <v>3</v>
      </c>
      <c r="AK6" s="556" t="s">
        <v>386</v>
      </c>
      <c r="AL6" s="691">
        <f>AL4/AL5</f>
        <v>21.592508896755891</v>
      </c>
      <c r="AM6" s="557"/>
      <c r="AN6" s="558"/>
      <c r="AO6" s="557"/>
      <c r="AP6" s="545">
        <f t="shared" si="77"/>
        <v>3</v>
      </c>
      <c r="AQ6" s="693">
        <f t="shared" si="6"/>
        <v>3</v>
      </c>
      <c r="AR6" s="655" t="s">
        <v>389</v>
      </c>
      <c r="AS6" s="655">
        <f t="shared" si="7"/>
        <v>6.29</v>
      </c>
      <c r="AT6" s="694">
        <f t="shared" si="78"/>
        <v>3137059.658360593</v>
      </c>
      <c r="AU6" s="694">
        <f t="shared" ref="AU6:AU27" si="115">AT6*AS6/3600</f>
        <v>5481.1403475244806</v>
      </c>
      <c r="AV6" s="695">
        <f t="shared" si="8"/>
        <v>5660.1558914298084</v>
      </c>
      <c r="AW6" s="696">
        <f t="shared" si="9"/>
        <v>21.592508896755891</v>
      </c>
      <c r="AX6" s="646">
        <f>AV6*AW6</f>
        <v>122216.96644272341</v>
      </c>
      <c r="AY6" s="544">
        <f t="shared" si="79"/>
        <v>2.917365656437508E-3</v>
      </c>
      <c r="AZ6" s="548">
        <f t="shared" si="10"/>
        <v>3.8959079999999999</v>
      </c>
      <c r="BD6" s="559">
        <v>3</v>
      </c>
      <c r="BE6" s="560" t="s">
        <v>71</v>
      </c>
      <c r="BF6" s="784">
        <f>SUM(BF4:BF5)</f>
        <v>1</v>
      </c>
      <c r="BG6" s="785">
        <f>C6</f>
        <v>19173425.776259005</v>
      </c>
      <c r="BK6" s="543">
        <f t="shared" ref="BK6:BK27" si="116">+BK5+1</f>
        <v>3</v>
      </c>
      <c r="BL6" s="658">
        <f t="shared" si="11"/>
        <v>3</v>
      </c>
      <c r="BM6" s="655" t="s">
        <v>389</v>
      </c>
      <c r="BN6" s="657">
        <f t="shared" si="80"/>
        <v>2.917365656437508E-3</v>
      </c>
      <c r="BO6" s="646">
        <f t="shared" si="81"/>
        <v>27967.946937955843</v>
      </c>
      <c r="BP6" s="657">
        <f t="shared" si="82"/>
        <v>1.4356379147562593E-3</v>
      </c>
      <c r="BQ6" s="646">
        <f t="shared" si="83"/>
        <v>13763.048500081195</v>
      </c>
      <c r="BR6" s="708">
        <f t="shared" si="12"/>
        <v>41730.99543803704</v>
      </c>
      <c r="BS6" s="709">
        <f t="shared" si="13"/>
        <v>1.3302579999999999</v>
      </c>
      <c r="BW6" s="543">
        <f>+BW5+1</f>
        <v>3</v>
      </c>
      <c r="BX6" s="655" t="s">
        <v>387</v>
      </c>
      <c r="BY6" s="647">
        <v>0.11819476827566944</v>
      </c>
      <c r="BZ6" s="715">
        <f>BY6*$BZ$9</f>
        <v>2963582.1385817751</v>
      </c>
      <c r="CA6" s="648"/>
      <c r="CB6" s="648">
        <v>1</v>
      </c>
      <c r="CC6" s="715">
        <f t="shared" si="14"/>
        <v>0</v>
      </c>
      <c r="CD6" s="715">
        <f t="shared" si="14"/>
        <v>2963582.1385817751</v>
      </c>
      <c r="CH6" s="543">
        <f t="shared" ref="CH6:CH27" si="117">+CH5+1</f>
        <v>3</v>
      </c>
      <c r="CI6" s="678">
        <f t="shared" si="15"/>
        <v>3</v>
      </c>
      <c r="CJ6" s="655" t="s">
        <v>389</v>
      </c>
      <c r="CK6" s="657">
        <f t="shared" si="16"/>
        <v>1.4356379147562593E-3</v>
      </c>
      <c r="CL6" s="646">
        <f t="shared" si="17"/>
        <v>8415.334434490931</v>
      </c>
      <c r="CM6" s="657">
        <f t="shared" si="18"/>
        <v>2.1644918473740426E-3</v>
      </c>
      <c r="CN6" s="646">
        <f t="shared" si="19"/>
        <v>41584.169649063435</v>
      </c>
      <c r="CO6" s="646">
        <f t="shared" si="20"/>
        <v>49999.504083554362</v>
      </c>
      <c r="CP6" s="657">
        <f t="shared" si="21"/>
        <v>1.9941002215252165E-3</v>
      </c>
      <c r="CQ6" s="709">
        <f t="shared" si="22"/>
        <v>1.5938330000000001</v>
      </c>
      <c r="CU6" s="561">
        <v>3</v>
      </c>
      <c r="CV6" s="735" t="s">
        <v>377</v>
      </c>
      <c r="CW6" s="736">
        <v>0</v>
      </c>
      <c r="CX6" s="736">
        <v>0</v>
      </c>
      <c r="CY6" s="737">
        <v>1</v>
      </c>
      <c r="CZ6" s="738">
        <f t="shared" si="23"/>
        <v>0</v>
      </c>
      <c r="DA6" s="738">
        <f t="shared" si="23"/>
        <v>0</v>
      </c>
      <c r="DB6" s="738">
        <f t="shared" si="23"/>
        <v>1100728.5042167718</v>
      </c>
      <c r="DC6" s="738">
        <v>1100728.5042167718</v>
      </c>
      <c r="DG6" s="545">
        <f t="shared" ref="DG6:DG27" si="118">+DG5+1</f>
        <v>3</v>
      </c>
      <c r="DH6" s="739">
        <f t="shared" si="24"/>
        <v>3</v>
      </c>
      <c r="DI6" s="655" t="s">
        <v>389</v>
      </c>
      <c r="DJ6" s="657">
        <f t="shared" si="25"/>
        <v>1.9941002215252165E-3</v>
      </c>
      <c r="DK6" s="646">
        <f t="shared" si="84"/>
        <v>751.16705366637757</v>
      </c>
      <c r="DL6" s="657">
        <f t="shared" si="26"/>
        <v>2.1644918473740426E-3</v>
      </c>
      <c r="DM6" s="646">
        <f t="shared" si="27"/>
        <v>5298.9693512467738</v>
      </c>
      <c r="DN6" s="657">
        <f t="shared" si="28"/>
        <v>1.4356379147562593E-3</v>
      </c>
      <c r="DO6" s="646">
        <f t="shared" si="29"/>
        <v>5094.8837321850897</v>
      </c>
      <c r="DP6" s="646">
        <f t="shared" si="85"/>
        <v>11145.020137098241</v>
      </c>
      <c r="DQ6" s="657">
        <f t="shared" si="30"/>
        <v>1.7485966045529691E-3</v>
      </c>
      <c r="DR6" s="709">
        <f t="shared" si="31"/>
        <v>0.35526999999999997</v>
      </c>
      <c r="DV6" s="545">
        <f t="shared" ref="DV6:DV27" si="119">+DV5+1</f>
        <v>3</v>
      </c>
      <c r="DW6" s="739">
        <f t="shared" si="32"/>
        <v>3</v>
      </c>
      <c r="DX6" s="655" t="s">
        <v>389</v>
      </c>
      <c r="DY6" s="657">
        <f t="shared" si="33"/>
        <v>2.1644918473740426E-3</v>
      </c>
      <c r="DZ6" s="646">
        <f t="shared" si="34"/>
        <v>8690.444311193216</v>
      </c>
      <c r="EA6" s="709">
        <f t="shared" si="35"/>
        <v>0.27702500000000002</v>
      </c>
      <c r="EE6" s="561">
        <v>3</v>
      </c>
      <c r="EF6" s="719" t="s">
        <v>169</v>
      </c>
      <c r="EG6" s="738">
        <v>3925054.0147022721</v>
      </c>
      <c r="EH6" s="720">
        <f>EG6/$EG$7</f>
        <v>0.32612978141374083</v>
      </c>
      <c r="EI6" s="738">
        <f>EH6*$EI$7</f>
        <v>4277410.6395161217</v>
      </c>
      <c r="EM6" s="545">
        <f t="shared" ref="EM6:EM27" si="120">+EM5+1</f>
        <v>3</v>
      </c>
      <c r="EN6" s="739">
        <f t="shared" si="36"/>
        <v>3</v>
      </c>
      <c r="EO6" s="655" t="s">
        <v>389</v>
      </c>
      <c r="EP6" s="657">
        <f t="shared" si="37"/>
        <v>2.4218992065477333E-3</v>
      </c>
      <c r="EQ6" s="646">
        <f t="shared" si="38"/>
        <v>18958.189050613037</v>
      </c>
      <c r="ER6" s="657">
        <f t="shared" si="39"/>
        <v>1.9941002215252165E-3</v>
      </c>
      <c r="ES6" s="646">
        <f t="shared" si="40"/>
        <v>2014.919297899379</v>
      </c>
      <c r="ET6" s="657">
        <f t="shared" si="41"/>
        <v>1.4356379147562593E-3</v>
      </c>
      <c r="EU6" s="646">
        <f t="shared" si="42"/>
        <v>6140.8128910711621</v>
      </c>
      <c r="EV6" s="646">
        <f t="shared" si="43"/>
        <v>27113.921239583578</v>
      </c>
      <c r="EW6" s="657">
        <f t="shared" si="44"/>
        <v>2.0672920961675766E-3</v>
      </c>
      <c r="EX6" s="709">
        <f t="shared" si="45"/>
        <v>0.86431000000000002</v>
      </c>
      <c r="FB6" s="562">
        <v>3</v>
      </c>
      <c r="FC6" s="563" t="s">
        <v>388</v>
      </c>
      <c r="FD6" s="564">
        <f>SUM(FD4:FD5)</f>
        <v>19645244.045015443</v>
      </c>
      <c r="FH6" s="545">
        <f t="shared" ref="FH6:FH27" si="121">+FH5+1</f>
        <v>3</v>
      </c>
      <c r="FI6" s="669">
        <f t="shared" si="46"/>
        <v>3</v>
      </c>
      <c r="FJ6" s="655" t="s">
        <v>389</v>
      </c>
      <c r="FK6" s="657">
        <f t="shared" si="47"/>
        <v>2.4218992065477333E-3</v>
      </c>
      <c r="FL6" s="646">
        <f t="shared" si="48"/>
        <v>47578.800965059483</v>
      </c>
      <c r="FM6" s="709">
        <f t="shared" si="49"/>
        <v>1.516669</v>
      </c>
      <c r="FQ6" s="543">
        <v>3</v>
      </c>
      <c r="FR6" s="669">
        <v>3</v>
      </c>
      <c r="FS6" s="655" t="s">
        <v>389</v>
      </c>
      <c r="FT6" s="646">
        <f t="shared" si="50"/>
        <v>122216.96644272341</v>
      </c>
      <c r="FU6" s="646">
        <f t="shared" si="51"/>
        <v>41730.99543803704</v>
      </c>
      <c r="FV6" s="646">
        <f t="shared" si="52"/>
        <v>49999.504083554362</v>
      </c>
      <c r="FW6" s="646">
        <f t="shared" si="87"/>
        <v>11145.020137098241</v>
      </c>
      <c r="FX6" s="646">
        <f t="shared" si="53"/>
        <v>8690.444311193216</v>
      </c>
      <c r="FY6" s="646">
        <f t="shared" si="54"/>
        <v>27113.921239583578</v>
      </c>
      <c r="FZ6" s="646">
        <f t="shared" si="55"/>
        <v>47578.800965059483</v>
      </c>
      <c r="GA6" s="646">
        <f t="shared" si="56"/>
        <v>308475.65261724935</v>
      </c>
      <c r="GB6" s="746">
        <f t="shared" si="57"/>
        <v>9.8332730000000002</v>
      </c>
      <c r="GF6" s="545">
        <f t="shared" si="88"/>
        <v>3</v>
      </c>
      <c r="GG6" s="669">
        <f t="shared" si="58"/>
        <v>3</v>
      </c>
      <c r="GH6" s="655" t="s">
        <v>389</v>
      </c>
      <c r="GI6" s="709">
        <f t="shared" si="59"/>
        <v>3.8959079999999999</v>
      </c>
      <c r="GJ6" s="709">
        <f t="shared" si="60"/>
        <v>1.3302579999999999</v>
      </c>
      <c r="GK6" s="709">
        <f t="shared" si="61"/>
        <v>1.5938330000000001</v>
      </c>
      <c r="GL6" s="709">
        <f t="shared" si="62"/>
        <v>0.35526999999999997</v>
      </c>
      <c r="GM6" s="709">
        <f t="shared" si="63"/>
        <v>0.27702500000000002</v>
      </c>
      <c r="GN6" s="709">
        <f t="shared" si="64"/>
        <v>0.86431000000000002</v>
      </c>
      <c r="GO6" s="709">
        <f t="shared" si="65"/>
        <v>1.516669</v>
      </c>
      <c r="GP6" s="709">
        <f t="shared" si="66"/>
        <v>9.8332730000000002</v>
      </c>
      <c r="GQ6" s="656">
        <f t="shared" si="89"/>
        <v>3137059.658360593</v>
      </c>
      <c r="GR6" s="530"/>
      <c r="GU6" s="543">
        <f t="shared" si="90"/>
        <v>3</v>
      </c>
      <c r="GV6" s="669">
        <f t="shared" si="67"/>
        <v>3</v>
      </c>
      <c r="GW6" s="655" t="s">
        <v>389</v>
      </c>
      <c r="GX6" s="658" t="s">
        <v>379</v>
      </c>
      <c r="GY6" s="646">
        <f t="shared" si="68"/>
        <v>308475.65261724935</v>
      </c>
      <c r="GZ6" s="656">
        <f t="shared" si="69"/>
        <v>3137059.658360593</v>
      </c>
      <c r="HA6" s="709">
        <f t="shared" si="91"/>
        <v>9.8332730000000002</v>
      </c>
      <c r="HB6" s="646">
        <f t="shared" si="70"/>
        <v>308475.64037946443</v>
      </c>
      <c r="HC6" s="749">
        <f t="shared" si="71"/>
        <v>-1.2237784918397665E-2</v>
      </c>
      <c r="HD6" s="565"/>
      <c r="HG6" s="562">
        <v>3</v>
      </c>
      <c r="HH6" s="566" t="s">
        <v>88</v>
      </c>
      <c r="HI6" s="567">
        <f>SUM(HI4:HI5)</f>
        <v>129289675.50083128</v>
      </c>
      <c r="HJ6" s="568">
        <f>SUM(HJ4:HJ5)</f>
        <v>1</v>
      </c>
      <c r="HK6" s="567">
        <f>SUM(HK4:HK5)</f>
        <v>129289673.88085331</v>
      </c>
      <c r="HL6" s="569">
        <f>SUM(HL4:HL5)</f>
        <v>-1.6199779444580145</v>
      </c>
      <c r="HM6" s="565"/>
      <c r="HP6" s="545">
        <f t="shared" ref="HP6:HP27" si="122">+HP5+1</f>
        <v>3</v>
      </c>
      <c r="HQ6" s="761">
        <f t="shared" si="72"/>
        <v>3</v>
      </c>
      <c r="HR6" s="655" t="s">
        <v>389</v>
      </c>
      <c r="HS6" s="656">
        <f t="shared" si="92"/>
        <v>3137059.658360593</v>
      </c>
      <c r="HT6" s="756">
        <f t="shared" si="93"/>
        <v>9.8332730000000002</v>
      </c>
      <c r="HU6" s="756">
        <v>8.6401970000000006</v>
      </c>
      <c r="HV6" s="647">
        <f>IF(HU6&lt;&gt;0,HT6/HU6-1,"")</f>
        <v>0.13808435154892873</v>
      </c>
      <c r="HW6" s="756">
        <f t="shared" si="95"/>
        <v>1.1930759999999996</v>
      </c>
      <c r="HX6" s="648">
        <v>10</v>
      </c>
      <c r="IO6" s="545">
        <v>3</v>
      </c>
      <c r="IP6" s="761">
        <v>3</v>
      </c>
      <c r="IQ6" s="655" t="s">
        <v>389</v>
      </c>
      <c r="IR6" s="769">
        <f t="shared" si="96"/>
        <v>308475.65261724935</v>
      </c>
      <c r="IS6" s="770">
        <f t="shared" si="96"/>
        <v>3137059.658360593</v>
      </c>
      <c r="IT6" s="771">
        <f t="shared" si="96"/>
        <v>9.8332730000000002</v>
      </c>
      <c r="IU6" s="656">
        <f t="shared" si="97"/>
        <v>460602.1332414939</v>
      </c>
      <c r="IV6" s="656">
        <f t="shared" si="98"/>
        <v>2676457.5251190993</v>
      </c>
      <c r="IW6" s="769">
        <f t="shared" si="99"/>
        <v>6909.0319986224085</v>
      </c>
      <c r="IX6" s="769">
        <f t="shared" si="100"/>
        <v>301566.62061862694</v>
      </c>
      <c r="IY6" s="550">
        <f t="shared" si="101"/>
        <v>9.6130342888099136</v>
      </c>
      <c r="IZ6" s="550">
        <f t="shared" si="102"/>
        <v>11.113034288809914</v>
      </c>
      <c r="JA6" s="769">
        <f t="shared" si="103"/>
        <v>308475.65261724935</v>
      </c>
      <c r="JB6" s="746">
        <f t="shared" si="104"/>
        <v>0.22023871119008653</v>
      </c>
      <c r="JF6" s="545">
        <f t="shared" ref="JF6:JF27" si="123">+JF5+1</f>
        <v>3</v>
      </c>
      <c r="JG6" s="761">
        <f t="shared" si="73"/>
        <v>3</v>
      </c>
      <c r="JH6" s="655" t="s">
        <v>389</v>
      </c>
      <c r="JI6" s="656">
        <f t="shared" si="105"/>
        <v>3137059.658360593</v>
      </c>
      <c r="JJ6" s="756">
        <f t="shared" si="106"/>
        <v>9.6130342888099136</v>
      </c>
      <c r="JK6" s="756">
        <v>8.4179636538958409</v>
      </c>
      <c r="JL6" s="647">
        <f>IF(JK6&lt;&gt;0,JJ6/JK6-1,"")</f>
        <v>0.14196671357223001</v>
      </c>
      <c r="JM6" s="756">
        <f t="shared" si="108"/>
        <v>1.1950706349140727</v>
      </c>
      <c r="JN6" s="648">
        <v>10</v>
      </c>
      <c r="JS6" s="756">
        <v>9.6211984482145372</v>
      </c>
      <c r="JT6" s="756">
        <f t="shared" si="109"/>
        <v>-8.164159404623561E-3</v>
      </c>
      <c r="JU6" s="1009">
        <v>2959233</v>
      </c>
      <c r="JV6" s="1009">
        <f t="shared" si="110"/>
        <v>-177826.65836059302</v>
      </c>
      <c r="JW6" s="978">
        <f t="shared" ref="JW6:JW28" si="124">JT6/JS6</f>
        <v>-8.4855950623683818E-4</v>
      </c>
      <c r="JX6" s="997">
        <v>284713.67947505252</v>
      </c>
      <c r="JY6" s="997">
        <f t="shared" si="111"/>
        <v>301566.62061862694</v>
      </c>
      <c r="JZ6" s="516"/>
      <c r="KA6" s="516" t="s">
        <v>444</v>
      </c>
      <c r="KB6" s="997">
        <f>SUM(KB4:KB5)</f>
        <v>-316024.90920829203</v>
      </c>
      <c r="KC6" s="516"/>
      <c r="KE6" s="516"/>
      <c r="KF6" s="516"/>
    </row>
    <row r="7" spans="1:292" ht="17.25" thickBot="1" x14ac:dyDescent="0.35">
      <c r="A7" s="222">
        <v>4</v>
      </c>
      <c r="B7" s="653" t="s">
        <v>49</v>
      </c>
      <c r="C7" s="650">
        <f>'ABDA 8 month Phase I'!MC17</f>
        <v>25073716.728897151</v>
      </c>
      <c r="D7" s="651">
        <f t="shared" si="0"/>
        <v>0.19397791570259151</v>
      </c>
      <c r="E7" s="986">
        <v>1.1422480863023685</v>
      </c>
      <c r="I7" s="222">
        <f t="shared" si="112"/>
        <v>4</v>
      </c>
      <c r="J7" s="659">
        <f t="shared" si="1"/>
        <v>4</v>
      </c>
      <c r="K7" s="660" t="s">
        <v>392</v>
      </c>
      <c r="L7" s="991">
        <v>359269.10340231913</v>
      </c>
      <c r="M7" s="662">
        <f t="shared" si="2"/>
        <v>1.6441521762910934E-4</v>
      </c>
      <c r="N7" s="661">
        <v>172</v>
      </c>
      <c r="O7" s="661">
        <f t="shared" si="74"/>
        <v>2088.7738569902276</v>
      </c>
      <c r="P7" s="662">
        <f t="shared" si="3"/>
        <v>1.1760201376757034E-3</v>
      </c>
      <c r="Q7" s="663" t="s">
        <v>379</v>
      </c>
      <c r="U7" s="551">
        <f t="shared" si="113"/>
        <v>4</v>
      </c>
      <c r="V7" s="670">
        <f t="shared" si="4"/>
        <v>4</v>
      </c>
      <c r="W7" s="660" t="s">
        <v>392</v>
      </c>
      <c r="X7" s="671">
        <f t="shared" si="75"/>
        <v>58692.195294223522</v>
      </c>
      <c r="Y7" s="662">
        <f t="shared" si="5"/>
        <v>6.0802805817665277E-4</v>
      </c>
      <c r="AC7" s="551">
        <f t="shared" si="114"/>
        <v>4</v>
      </c>
      <c r="AD7" s="681">
        <v>4</v>
      </c>
      <c r="AE7" s="682" t="s">
        <v>392</v>
      </c>
      <c r="AF7" s="683">
        <v>9.15</v>
      </c>
      <c r="AJ7" s="570">
        <f t="shared" si="76"/>
        <v>4</v>
      </c>
      <c r="AK7" s="571" t="s">
        <v>390</v>
      </c>
      <c r="AL7" s="692">
        <f>AU28*3600/AT28</f>
        <v>3.0953139055060737</v>
      </c>
      <c r="AP7" s="551">
        <f t="shared" si="77"/>
        <v>4</v>
      </c>
      <c r="AQ7" s="697">
        <f t="shared" si="6"/>
        <v>4</v>
      </c>
      <c r="AR7" s="660" t="s">
        <v>392</v>
      </c>
      <c r="AS7" s="660">
        <f t="shared" si="7"/>
        <v>9.15</v>
      </c>
      <c r="AT7" s="698">
        <f t="shared" si="78"/>
        <v>359269.10340231913</v>
      </c>
      <c r="AU7" s="698">
        <f t="shared" si="115"/>
        <v>913.1423044808945</v>
      </c>
      <c r="AV7" s="699">
        <f t="shared" si="8"/>
        <v>942.96578206680249</v>
      </c>
      <c r="AW7" s="700">
        <f t="shared" si="9"/>
        <v>21.592508896755891</v>
      </c>
      <c r="AX7" s="671">
        <f t="shared" ref="AX7:AX27" si="125">AV7*AW7</f>
        <v>20360.997038613808</v>
      </c>
      <c r="AY7" s="465">
        <f t="shared" si="79"/>
        <v>4.860247739753512E-4</v>
      </c>
      <c r="AZ7" s="553">
        <f t="shared" si="10"/>
        <v>5.6673390000000001</v>
      </c>
      <c r="BK7" s="222">
        <f t="shared" si="116"/>
        <v>4</v>
      </c>
      <c r="BL7" s="663">
        <f t="shared" si="11"/>
        <v>4</v>
      </c>
      <c r="BM7" s="660" t="s">
        <v>392</v>
      </c>
      <c r="BN7" s="662">
        <f t="shared" si="80"/>
        <v>4.860247739753512E-4</v>
      </c>
      <c r="BO7" s="671">
        <f t="shared" si="81"/>
        <v>4659.3799646197276</v>
      </c>
      <c r="BP7" s="662">
        <f t="shared" si="82"/>
        <v>1.6441521762910934E-4</v>
      </c>
      <c r="BQ7" s="671">
        <f t="shared" si="83"/>
        <v>1576.2014858495995</v>
      </c>
      <c r="BR7" s="710">
        <f t="shared" si="12"/>
        <v>6235.5814504693271</v>
      </c>
      <c r="BS7" s="711">
        <f t="shared" si="13"/>
        <v>1.73563</v>
      </c>
      <c r="BW7" s="222">
        <f>+BW6+1</f>
        <v>4</v>
      </c>
      <c r="BX7" s="660" t="s">
        <v>391</v>
      </c>
      <c r="BY7" s="716">
        <v>0.27421214545215511</v>
      </c>
      <c r="BZ7" s="717">
        <f>BY7*$BZ$9</f>
        <v>6875517.6586904805</v>
      </c>
      <c r="CA7" s="718"/>
      <c r="CB7" s="718">
        <v>1</v>
      </c>
      <c r="CC7" s="717">
        <f t="shared" si="14"/>
        <v>0</v>
      </c>
      <c r="CD7" s="717">
        <f t="shared" si="14"/>
        <v>6875517.6586904805</v>
      </c>
      <c r="CH7" s="222">
        <f t="shared" si="117"/>
        <v>4</v>
      </c>
      <c r="CI7" s="681">
        <f t="shared" si="15"/>
        <v>4</v>
      </c>
      <c r="CJ7" s="660" t="s">
        <v>392</v>
      </c>
      <c r="CK7" s="723">
        <f t="shared" si="16"/>
        <v>1.6441521762910934E-4</v>
      </c>
      <c r="CL7" s="650">
        <f t="shared" si="17"/>
        <v>963.75905668628957</v>
      </c>
      <c r="CM7" s="723">
        <f t="shared" si="18"/>
        <v>1.1760201376757034E-3</v>
      </c>
      <c r="CN7" s="650">
        <f t="shared" si="19"/>
        <v>22593.672956149687</v>
      </c>
      <c r="CO7" s="650">
        <f t="shared" si="20"/>
        <v>23557.432012835976</v>
      </c>
      <c r="CP7" s="723">
        <f t="shared" si="21"/>
        <v>9.3952692644430776E-4</v>
      </c>
      <c r="CQ7" s="724">
        <f t="shared" si="22"/>
        <v>6.5570440000000003</v>
      </c>
      <c r="CU7" s="274">
        <v>4</v>
      </c>
      <c r="CV7" s="572" t="s">
        <v>71</v>
      </c>
      <c r="CW7" s="430"/>
      <c r="CX7" s="430"/>
      <c r="CY7" s="573"/>
      <c r="CZ7" s="277">
        <f>SUM(CZ4:CZ6)</f>
        <v>376694.73457649816</v>
      </c>
      <c r="DA7" s="277">
        <f>SUM(DA4:DA6)</f>
        <v>2448135.5093462113</v>
      </c>
      <c r="DB7" s="277">
        <f>SUM(DB4:DB6)</f>
        <v>3548864.0135629829</v>
      </c>
      <c r="DC7" s="277">
        <f>SUM(DC4:DC6)</f>
        <v>6373694.2574856924</v>
      </c>
      <c r="DG7" s="551">
        <f t="shared" si="118"/>
        <v>4</v>
      </c>
      <c r="DH7" s="677">
        <f t="shared" si="24"/>
        <v>4</v>
      </c>
      <c r="DI7" s="660" t="s">
        <v>392</v>
      </c>
      <c r="DJ7" s="723">
        <f t="shared" si="25"/>
        <v>9.3952692644430776E-4</v>
      </c>
      <c r="DK7" s="650">
        <f t="shared" si="84"/>
        <v>353.9148461844116</v>
      </c>
      <c r="DL7" s="723">
        <f t="shared" si="26"/>
        <v>1.1760201376757034E-3</v>
      </c>
      <c r="DM7" s="650">
        <f t="shared" si="27"/>
        <v>2879.0566587501098</v>
      </c>
      <c r="DN7" s="723">
        <f t="shared" si="28"/>
        <v>1.6441521762910934E-4</v>
      </c>
      <c r="DO7" s="650">
        <f t="shared" si="29"/>
        <v>583.48724912607224</v>
      </c>
      <c r="DP7" s="650">
        <f t="shared" si="85"/>
        <v>3816.4587540605935</v>
      </c>
      <c r="DQ7" s="723">
        <f t="shared" si="30"/>
        <v>5.9878284082708999E-4</v>
      </c>
      <c r="DR7" s="724">
        <f t="shared" si="31"/>
        <v>1.062284</v>
      </c>
      <c r="DV7" s="551">
        <f t="shared" si="119"/>
        <v>4</v>
      </c>
      <c r="DW7" s="677">
        <f t="shared" si="32"/>
        <v>4</v>
      </c>
      <c r="DX7" s="660" t="s">
        <v>392</v>
      </c>
      <c r="DY7" s="723">
        <f t="shared" si="33"/>
        <v>1.1760201376757034E-3</v>
      </c>
      <c r="DZ7" s="650">
        <f t="shared" si="34"/>
        <v>4721.7260382438171</v>
      </c>
      <c r="EA7" s="724">
        <f t="shared" si="35"/>
        <v>1.3142590000000001</v>
      </c>
      <c r="EE7" s="574">
        <v>4</v>
      </c>
      <c r="EF7" s="369" t="s">
        <v>71</v>
      </c>
      <c r="EG7" s="277">
        <f>SUM(EG4:EG6)</f>
        <v>12035251.726130454</v>
      </c>
      <c r="EH7" s="575">
        <f>EG7/$EG$7</f>
        <v>1</v>
      </c>
      <c r="EI7" s="277">
        <f>C10</f>
        <v>13115670.151232321</v>
      </c>
      <c r="EM7" s="551">
        <f t="shared" si="120"/>
        <v>4</v>
      </c>
      <c r="EN7" s="677">
        <f t="shared" si="36"/>
        <v>4</v>
      </c>
      <c r="EO7" s="660" t="s">
        <v>392</v>
      </c>
      <c r="EP7" s="723">
        <f t="shared" si="37"/>
        <v>6.0802805817665277E-4</v>
      </c>
      <c r="EQ7" s="650">
        <f t="shared" si="38"/>
        <v>4759.533693155342</v>
      </c>
      <c r="ER7" s="723">
        <f t="shared" si="39"/>
        <v>9.3952692644430776E-4</v>
      </c>
      <c r="ES7" s="650">
        <f t="shared" si="40"/>
        <v>949.33590325805346</v>
      </c>
      <c r="ET7" s="723">
        <f t="shared" si="41"/>
        <v>1.6441521762910934E-4</v>
      </c>
      <c r="EU7" s="650">
        <f t="shared" si="42"/>
        <v>703.2714011851109</v>
      </c>
      <c r="EV7" s="650">
        <f t="shared" si="43"/>
        <v>6412.1409975985071</v>
      </c>
      <c r="EW7" s="723">
        <f t="shared" si="44"/>
        <v>4.8889160246196311E-4</v>
      </c>
      <c r="EX7" s="724">
        <f t="shared" si="45"/>
        <v>1.7847740000000001</v>
      </c>
      <c r="FD7" s="5"/>
      <c r="FH7" s="551">
        <f t="shared" si="121"/>
        <v>4</v>
      </c>
      <c r="FI7" s="670">
        <f t="shared" si="46"/>
        <v>4</v>
      </c>
      <c r="FJ7" s="660" t="s">
        <v>392</v>
      </c>
      <c r="FK7" s="723">
        <f t="shared" si="47"/>
        <v>6.0802805817665277E-4</v>
      </c>
      <c r="FL7" s="650">
        <f t="shared" si="48"/>
        <v>11944.859589097192</v>
      </c>
      <c r="FM7" s="724">
        <f t="shared" si="49"/>
        <v>3.324767</v>
      </c>
      <c r="FQ7" s="222">
        <v>4</v>
      </c>
      <c r="FR7" s="670">
        <v>4</v>
      </c>
      <c r="FS7" s="660" t="s">
        <v>392</v>
      </c>
      <c r="FT7" s="650">
        <f t="shared" si="50"/>
        <v>20360.997038613808</v>
      </c>
      <c r="FU7" s="650">
        <f t="shared" si="51"/>
        <v>6235.5814504693271</v>
      </c>
      <c r="FV7" s="650">
        <f t="shared" si="52"/>
        <v>23557.432012835976</v>
      </c>
      <c r="FW7" s="650">
        <f t="shared" si="87"/>
        <v>3816.4587540605935</v>
      </c>
      <c r="FX7" s="650">
        <f t="shared" si="53"/>
        <v>4721.7260382438171</v>
      </c>
      <c r="FY7" s="650">
        <f t="shared" si="54"/>
        <v>6412.1409975985071</v>
      </c>
      <c r="FZ7" s="650">
        <f t="shared" si="55"/>
        <v>11944.859589097192</v>
      </c>
      <c r="GA7" s="650">
        <f t="shared" si="56"/>
        <v>77049.195880919229</v>
      </c>
      <c r="GB7" s="747">
        <f t="shared" si="57"/>
        <v>21.446096000000001</v>
      </c>
      <c r="GF7" s="551">
        <f t="shared" si="88"/>
        <v>4</v>
      </c>
      <c r="GG7" s="670">
        <f t="shared" si="58"/>
        <v>4</v>
      </c>
      <c r="GH7" s="660" t="s">
        <v>392</v>
      </c>
      <c r="GI7" s="724">
        <f t="shared" si="59"/>
        <v>5.6673390000000001</v>
      </c>
      <c r="GJ7" s="724">
        <f t="shared" si="60"/>
        <v>1.73563</v>
      </c>
      <c r="GK7" s="724">
        <f t="shared" si="61"/>
        <v>6.5570440000000003</v>
      </c>
      <c r="GL7" s="724">
        <f t="shared" si="62"/>
        <v>1.062284</v>
      </c>
      <c r="GM7" s="724">
        <f t="shared" si="63"/>
        <v>1.3142590000000001</v>
      </c>
      <c r="GN7" s="724">
        <f t="shared" si="64"/>
        <v>1.7847740000000001</v>
      </c>
      <c r="GO7" s="724">
        <f t="shared" si="65"/>
        <v>3.324767</v>
      </c>
      <c r="GP7" s="724">
        <f t="shared" si="66"/>
        <v>21.446096000000001</v>
      </c>
      <c r="GQ7" s="661">
        <f t="shared" si="89"/>
        <v>359269.10340231913</v>
      </c>
      <c r="GR7" s="530"/>
      <c r="GU7" s="222">
        <f t="shared" si="90"/>
        <v>4</v>
      </c>
      <c r="GV7" s="670">
        <f t="shared" si="67"/>
        <v>4</v>
      </c>
      <c r="GW7" s="660" t="s">
        <v>392</v>
      </c>
      <c r="GX7" s="663" t="s">
        <v>379</v>
      </c>
      <c r="GY7" s="671">
        <f t="shared" si="68"/>
        <v>77049.195880919229</v>
      </c>
      <c r="GZ7" s="661">
        <f t="shared" si="69"/>
        <v>359269.10340231913</v>
      </c>
      <c r="HA7" s="724">
        <f t="shared" si="91"/>
        <v>21.446096000000001</v>
      </c>
      <c r="HB7" s="650">
        <f t="shared" si="70"/>
        <v>77049.196814000621</v>
      </c>
      <c r="HC7" s="750">
        <f t="shared" si="71"/>
        <v>9.3308139184955508E-4</v>
      </c>
      <c r="HD7" s="549"/>
      <c r="HG7" s="549"/>
      <c r="HH7" s="549"/>
      <c r="HI7" s="549"/>
      <c r="HJ7" s="549"/>
      <c r="HK7" s="549"/>
      <c r="HL7" s="549"/>
      <c r="HM7" s="549"/>
      <c r="HP7" s="551">
        <f t="shared" si="122"/>
        <v>4</v>
      </c>
      <c r="HQ7" s="762">
        <f t="shared" si="72"/>
        <v>4</v>
      </c>
      <c r="HR7" s="660" t="s">
        <v>392</v>
      </c>
      <c r="HS7" s="661">
        <f t="shared" si="92"/>
        <v>359269.10340231913</v>
      </c>
      <c r="HT7" s="757">
        <f t="shared" si="93"/>
        <v>21.446096000000001</v>
      </c>
      <c r="HU7" s="757">
        <v>18.985862000000001</v>
      </c>
      <c r="HV7" s="651">
        <f t="shared" si="94"/>
        <v>0.12958242296293943</v>
      </c>
      <c r="HW7" s="757">
        <f t="shared" si="95"/>
        <v>2.4602339999999998</v>
      </c>
      <c r="HX7" s="652">
        <v>25</v>
      </c>
      <c r="IO7" s="551">
        <v>4</v>
      </c>
      <c r="IP7" s="762">
        <v>4</v>
      </c>
      <c r="IQ7" s="660" t="s">
        <v>392</v>
      </c>
      <c r="IR7" s="772">
        <f t="shared" si="96"/>
        <v>77049.195880919229</v>
      </c>
      <c r="IS7" s="773">
        <f t="shared" si="96"/>
        <v>359269.10340231913</v>
      </c>
      <c r="IT7" s="774">
        <f t="shared" si="96"/>
        <v>21.446096000000001</v>
      </c>
      <c r="IU7" s="661">
        <f t="shared" si="97"/>
        <v>52750.069637294015</v>
      </c>
      <c r="IV7" s="661">
        <f t="shared" si="98"/>
        <v>306519.03376502509</v>
      </c>
      <c r="IW7" s="772">
        <f t="shared" si="99"/>
        <v>791.25104455941016</v>
      </c>
      <c r="IX7" s="772">
        <f t="shared" si="100"/>
        <v>76257.94483635982</v>
      </c>
      <c r="IY7" s="455">
        <f t="shared" si="101"/>
        <v>21.225856638989672</v>
      </c>
      <c r="IZ7" s="555">
        <f t="shared" si="102"/>
        <v>22.725856638989672</v>
      </c>
      <c r="JA7" s="772">
        <f t="shared" si="103"/>
        <v>77049.195880919229</v>
      </c>
      <c r="JB7" s="778">
        <f t="shared" si="104"/>
        <v>0.22023936101032859</v>
      </c>
      <c r="JF7" s="551">
        <f t="shared" si="123"/>
        <v>4</v>
      </c>
      <c r="JG7" s="762">
        <f t="shared" si="73"/>
        <v>4</v>
      </c>
      <c r="JH7" s="660" t="s">
        <v>392</v>
      </c>
      <c r="JI7" s="661">
        <f t="shared" si="105"/>
        <v>359269.10340231913</v>
      </c>
      <c r="JJ7" s="757">
        <f t="shared" si="106"/>
        <v>21.225856638989672</v>
      </c>
      <c r="JK7" s="757">
        <v>18.76362854838003</v>
      </c>
      <c r="JL7" s="651">
        <f t="shared" ref="JL7:JL27" si="126">IF(JK7&lt;&gt;0,JJ7/JK7-1,"")</f>
        <v>0.13122345095784893</v>
      </c>
      <c r="JM7" s="757">
        <f t="shared" si="108"/>
        <v>2.4622280906096421</v>
      </c>
      <c r="JN7" s="652">
        <v>25</v>
      </c>
      <c r="JS7" s="757">
        <v>21.254814106638431</v>
      </c>
      <c r="JT7" s="757">
        <f t="shared" si="109"/>
        <v>-2.895746764875895E-2</v>
      </c>
      <c r="JU7" s="1010">
        <v>360281</v>
      </c>
      <c r="JV7" s="1010">
        <f t="shared" si="110"/>
        <v>1011.8965976808686</v>
      </c>
      <c r="JW7" s="978">
        <f t="shared" si="124"/>
        <v>-1.3623957143767624E-3</v>
      </c>
      <c r="JX7" s="997">
        <v>76577.056811538001</v>
      </c>
      <c r="JY7" s="997">
        <f t="shared" si="111"/>
        <v>76257.94483635982</v>
      </c>
      <c r="JZ7" s="516"/>
      <c r="KA7" s="516"/>
      <c r="KB7" s="516"/>
      <c r="KC7" s="516"/>
      <c r="KE7" s="516"/>
      <c r="KF7" s="516"/>
    </row>
    <row r="8" spans="1:292" ht="16.5" x14ac:dyDescent="0.3">
      <c r="A8" s="543">
        <v>5</v>
      </c>
      <c r="B8" s="645" t="s">
        <v>52</v>
      </c>
      <c r="C8" s="646">
        <f>'ABDA 8 month Phase I'!MC18</f>
        <v>6344695.8707459979</v>
      </c>
      <c r="D8" s="647">
        <f t="shared" si="0"/>
        <v>4.9084501276021257E-2</v>
      </c>
      <c r="E8" s="986">
        <v>0.29035743471963715</v>
      </c>
      <c r="I8" s="543">
        <f t="shared" si="112"/>
        <v>5</v>
      </c>
      <c r="J8" s="654">
        <f t="shared" si="1"/>
        <v>5</v>
      </c>
      <c r="K8" s="655" t="s">
        <v>394</v>
      </c>
      <c r="L8" s="991">
        <v>0</v>
      </c>
      <c r="M8" s="657">
        <f t="shared" si="2"/>
        <v>0</v>
      </c>
      <c r="N8" s="656">
        <v>10</v>
      </c>
      <c r="O8" s="656">
        <f t="shared" si="74"/>
        <v>0</v>
      </c>
      <c r="P8" s="657">
        <f t="shared" si="3"/>
        <v>0</v>
      </c>
      <c r="Q8" s="658" t="s">
        <v>384</v>
      </c>
      <c r="U8" s="545">
        <f t="shared" si="113"/>
        <v>5</v>
      </c>
      <c r="V8" s="669">
        <f t="shared" si="4"/>
        <v>5</v>
      </c>
      <c r="W8" s="655" t="s">
        <v>394</v>
      </c>
      <c r="X8" s="646">
        <f t="shared" si="75"/>
        <v>0</v>
      </c>
      <c r="Y8" s="657">
        <f t="shared" si="5"/>
        <v>0</v>
      </c>
      <c r="AC8" s="545">
        <f t="shared" si="114"/>
        <v>5</v>
      </c>
      <c r="AD8" s="678">
        <v>5</v>
      </c>
      <c r="AE8" s="679" t="s">
        <v>394</v>
      </c>
      <c r="AF8" s="680">
        <v>73.19</v>
      </c>
      <c r="AJ8" s="501"/>
      <c r="AP8" s="545">
        <f t="shared" si="77"/>
        <v>5</v>
      </c>
      <c r="AQ8" s="693">
        <f t="shared" si="6"/>
        <v>5</v>
      </c>
      <c r="AR8" s="655" t="s">
        <v>394</v>
      </c>
      <c r="AS8" s="655">
        <f t="shared" si="7"/>
        <v>73.19</v>
      </c>
      <c r="AT8" s="694">
        <f t="shared" si="78"/>
        <v>0</v>
      </c>
      <c r="AU8" s="694">
        <f t="shared" si="115"/>
        <v>0</v>
      </c>
      <c r="AV8" s="695">
        <f t="shared" si="8"/>
        <v>0</v>
      </c>
      <c r="AW8" s="696">
        <f t="shared" si="9"/>
        <v>21.592508896755891</v>
      </c>
      <c r="AX8" s="646">
        <f t="shared" si="125"/>
        <v>0</v>
      </c>
      <c r="AY8" s="544">
        <f t="shared" si="79"/>
        <v>0</v>
      </c>
      <c r="AZ8" s="548">
        <f t="shared" si="10"/>
        <v>0</v>
      </c>
      <c r="BK8" s="543">
        <f t="shared" si="116"/>
        <v>5</v>
      </c>
      <c r="BL8" s="658">
        <f t="shared" si="11"/>
        <v>5</v>
      </c>
      <c r="BM8" s="655" t="s">
        <v>394</v>
      </c>
      <c r="BN8" s="657">
        <f t="shared" si="80"/>
        <v>0</v>
      </c>
      <c r="BO8" s="646">
        <f t="shared" si="81"/>
        <v>0</v>
      </c>
      <c r="BP8" s="657">
        <f t="shared" si="82"/>
        <v>0</v>
      </c>
      <c r="BQ8" s="646">
        <f t="shared" si="83"/>
        <v>0</v>
      </c>
      <c r="BR8" s="708">
        <f t="shared" si="12"/>
        <v>0</v>
      </c>
      <c r="BS8" s="709">
        <f t="shared" si="13"/>
        <v>0</v>
      </c>
      <c r="BW8" s="561">
        <f>+BW7+1</f>
        <v>5</v>
      </c>
      <c r="BX8" s="719" t="s">
        <v>393</v>
      </c>
      <c r="BY8" s="720">
        <v>0.37381287569302735</v>
      </c>
      <c r="BZ8" s="721">
        <f>BY8*$BZ$9</f>
        <v>9372878.1547414102</v>
      </c>
      <c r="CA8" s="722"/>
      <c r="CB8" s="722">
        <v>1</v>
      </c>
      <c r="CC8" s="721">
        <f t="shared" si="14"/>
        <v>0</v>
      </c>
      <c r="CD8" s="721">
        <f t="shared" si="14"/>
        <v>9372878.1547414102</v>
      </c>
      <c r="CH8" s="543">
        <f t="shared" si="117"/>
        <v>5</v>
      </c>
      <c r="CI8" s="678">
        <f t="shared" si="15"/>
        <v>5</v>
      </c>
      <c r="CJ8" s="655" t="s">
        <v>394</v>
      </c>
      <c r="CK8" s="657">
        <f t="shared" si="16"/>
        <v>0</v>
      </c>
      <c r="CL8" s="646">
        <f t="shared" si="17"/>
        <v>0</v>
      </c>
      <c r="CM8" s="657">
        <f t="shared" si="18"/>
        <v>0</v>
      </c>
      <c r="CN8" s="646">
        <f t="shared" si="19"/>
        <v>0</v>
      </c>
      <c r="CO8" s="646">
        <f t="shared" si="20"/>
        <v>0</v>
      </c>
      <c r="CP8" s="657">
        <f t="shared" si="21"/>
        <v>0</v>
      </c>
      <c r="CQ8" s="709">
        <f t="shared" si="22"/>
        <v>0</v>
      </c>
      <c r="CW8" s="232"/>
      <c r="CX8" s="232"/>
      <c r="CY8" s="232"/>
      <c r="CZ8" s="232"/>
      <c r="DA8" s="232"/>
      <c r="DB8" s="232"/>
      <c r="DC8" s="232"/>
      <c r="DG8" s="545">
        <f t="shared" si="118"/>
        <v>5</v>
      </c>
      <c r="DH8" s="739">
        <f t="shared" si="24"/>
        <v>5</v>
      </c>
      <c r="DI8" s="655" t="s">
        <v>394</v>
      </c>
      <c r="DJ8" s="657">
        <f t="shared" si="25"/>
        <v>0</v>
      </c>
      <c r="DK8" s="646">
        <f t="shared" si="84"/>
        <v>0</v>
      </c>
      <c r="DL8" s="657">
        <f t="shared" si="26"/>
        <v>0</v>
      </c>
      <c r="DM8" s="646">
        <f t="shared" si="27"/>
        <v>0</v>
      </c>
      <c r="DN8" s="657">
        <f t="shared" si="28"/>
        <v>0</v>
      </c>
      <c r="DO8" s="646">
        <f t="shared" si="29"/>
        <v>0</v>
      </c>
      <c r="DP8" s="646">
        <f t="shared" si="85"/>
        <v>0</v>
      </c>
      <c r="DQ8" s="657">
        <f t="shared" si="30"/>
        <v>0</v>
      </c>
      <c r="DR8" s="709">
        <f t="shared" si="31"/>
        <v>0</v>
      </c>
      <c r="DV8" s="545">
        <f t="shared" si="119"/>
        <v>5</v>
      </c>
      <c r="DW8" s="739">
        <f t="shared" si="32"/>
        <v>5</v>
      </c>
      <c r="DX8" s="655" t="s">
        <v>394</v>
      </c>
      <c r="DY8" s="657">
        <f t="shared" si="33"/>
        <v>0</v>
      </c>
      <c r="DZ8" s="646">
        <f t="shared" si="34"/>
        <v>0</v>
      </c>
      <c r="EA8" s="709">
        <f t="shared" si="35"/>
        <v>0</v>
      </c>
      <c r="EM8" s="545">
        <f t="shared" si="120"/>
        <v>5</v>
      </c>
      <c r="EN8" s="739">
        <f t="shared" si="36"/>
        <v>5</v>
      </c>
      <c r="EO8" s="655" t="s">
        <v>394</v>
      </c>
      <c r="EP8" s="657">
        <f t="shared" si="37"/>
        <v>0</v>
      </c>
      <c r="EQ8" s="646">
        <f t="shared" si="38"/>
        <v>0</v>
      </c>
      <c r="ER8" s="657">
        <f t="shared" si="39"/>
        <v>0</v>
      </c>
      <c r="ES8" s="646">
        <f t="shared" si="40"/>
        <v>0</v>
      </c>
      <c r="ET8" s="657">
        <f t="shared" si="41"/>
        <v>0</v>
      </c>
      <c r="EU8" s="646">
        <f t="shared" si="42"/>
        <v>0</v>
      </c>
      <c r="EV8" s="646">
        <f t="shared" si="43"/>
        <v>0</v>
      </c>
      <c r="EW8" s="657">
        <f t="shared" si="44"/>
        <v>0</v>
      </c>
      <c r="EX8" s="709">
        <f t="shared" si="45"/>
        <v>0</v>
      </c>
      <c r="FH8" s="545">
        <f t="shared" si="121"/>
        <v>5</v>
      </c>
      <c r="FI8" s="669">
        <f t="shared" si="46"/>
        <v>5</v>
      </c>
      <c r="FJ8" s="655" t="s">
        <v>394</v>
      </c>
      <c r="FK8" s="657">
        <f t="shared" si="47"/>
        <v>0</v>
      </c>
      <c r="FL8" s="646">
        <f t="shared" si="48"/>
        <v>0</v>
      </c>
      <c r="FM8" s="709">
        <f t="shared" si="49"/>
        <v>0</v>
      </c>
      <c r="FQ8" s="543">
        <v>5</v>
      </c>
      <c r="FR8" s="669">
        <v>5</v>
      </c>
      <c r="FS8" s="655" t="s">
        <v>394</v>
      </c>
      <c r="FT8" s="646">
        <f t="shared" si="50"/>
        <v>0</v>
      </c>
      <c r="FU8" s="646">
        <f t="shared" si="51"/>
        <v>0</v>
      </c>
      <c r="FV8" s="646">
        <f t="shared" si="52"/>
        <v>0</v>
      </c>
      <c r="FW8" s="646">
        <f t="shared" si="87"/>
        <v>0</v>
      </c>
      <c r="FX8" s="646">
        <f t="shared" si="53"/>
        <v>0</v>
      </c>
      <c r="FY8" s="646">
        <f t="shared" si="54"/>
        <v>0</v>
      </c>
      <c r="FZ8" s="646">
        <f t="shared" si="55"/>
        <v>0</v>
      </c>
      <c r="GA8" s="646">
        <f t="shared" si="56"/>
        <v>0</v>
      </c>
      <c r="GB8" s="746">
        <f t="shared" si="57"/>
        <v>0</v>
      </c>
      <c r="GF8" s="545">
        <f t="shared" si="88"/>
        <v>5</v>
      </c>
      <c r="GG8" s="669">
        <f t="shared" si="58"/>
        <v>5</v>
      </c>
      <c r="GH8" s="655" t="s">
        <v>394</v>
      </c>
      <c r="GI8" s="709">
        <f t="shared" si="59"/>
        <v>0</v>
      </c>
      <c r="GJ8" s="709">
        <f t="shared" si="60"/>
        <v>0</v>
      </c>
      <c r="GK8" s="709">
        <f t="shared" si="61"/>
        <v>0</v>
      </c>
      <c r="GL8" s="709">
        <f t="shared" si="62"/>
        <v>0</v>
      </c>
      <c r="GM8" s="709">
        <f t="shared" si="63"/>
        <v>0</v>
      </c>
      <c r="GN8" s="709">
        <f t="shared" si="64"/>
        <v>0</v>
      </c>
      <c r="GO8" s="709">
        <f t="shared" si="65"/>
        <v>0</v>
      </c>
      <c r="GP8" s="709">
        <f t="shared" si="66"/>
        <v>0</v>
      </c>
      <c r="GQ8" s="656">
        <f t="shared" si="89"/>
        <v>0</v>
      </c>
      <c r="GR8" s="530"/>
      <c r="GU8" s="543">
        <f t="shared" si="90"/>
        <v>5</v>
      </c>
      <c r="GV8" s="669">
        <f t="shared" si="67"/>
        <v>5</v>
      </c>
      <c r="GW8" s="655" t="s">
        <v>394</v>
      </c>
      <c r="GX8" s="658" t="s">
        <v>384</v>
      </c>
      <c r="GY8" s="646">
        <f t="shared" si="68"/>
        <v>0</v>
      </c>
      <c r="GZ8" s="656">
        <f t="shared" si="69"/>
        <v>0</v>
      </c>
      <c r="HA8" s="709">
        <f t="shared" si="91"/>
        <v>3149</v>
      </c>
      <c r="HB8" s="646">
        <f>ROUND(HA8,10)*GZ8/100</f>
        <v>0</v>
      </c>
      <c r="HC8" s="749">
        <f t="shared" si="71"/>
        <v>0</v>
      </c>
      <c r="HD8" s="549"/>
      <c r="HG8" s="549"/>
      <c r="HH8" s="549"/>
      <c r="HI8" s="549"/>
      <c r="HJ8" s="549"/>
      <c r="HK8" s="549"/>
      <c r="HL8" s="549"/>
      <c r="HM8" s="549"/>
      <c r="HP8" s="545">
        <f t="shared" si="122"/>
        <v>5</v>
      </c>
      <c r="HQ8" s="761">
        <f t="shared" si="72"/>
        <v>5</v>
      </c>
      <c r="HR8" s="655" t="s">
        <v>394</v>
      </c>
      <c r="HS8" s="656">
        <f t="shared" si="92"/>
        <v>0</v>
      </c>
      <c r="HT8" s="756">
        <f t="shared" si="93"/>
        <v>3149</v>
      </c>
      <c r="HU8" s="756">
        <v>3149</v>
      </c>
      <c r="HV8" s="647">
        <f t="shared" si="94"/>
        <v>0</v>
      </c>
      <c r="HW8" s="756">
        <f t="shared" si="95"/>
        <v>0</v>
      </c>
      <c r="HX8" s="648">
        <v>10000</v>
      </c>
      <c r="IO8" s="545">
        <v>5</v>
      </c>
      <c r="IP8" s="761">
        <v>5</v>
      </c>
      <c r="IQ8" s="655" t="s">
        <v>394</v>
      </c>
      <c r="IR8" s="769">
        <f t="shared" si="96"/>
        <v>0</v>
      </c>
      <c r="IS8" s="770">
        <f t="shared" si="96"/>
        <v>0</v>
      </c>
      <c r="IT8" s="771">
        <f t="shared" si="96"/>
        <v>3149</v>
      </c>
      <c r="IU8" s="991">
        <v>0</v>
      </c>
      <c r="IV8" s="656">
        <f t="shared" si="98"/>
        <v>0</v>
      </c>
      <c r="IW8" s="769">
        <f t="shared" si="99"/>
        <v>0</v>
      </c>
      <c r="IX8" s="769">
        <f t="shared" si="100"/>
        <v>0</v>
      </c>
      <c r="IY8" s="550">
        <f>IT8</f>
        <v>3149</v>
      </c>
      <c r="IZ8" s="550">
        <f>IY8</f>
        <v>3149</v>
      </c>
      <c r="JA8" s="769">
        <f t="shared" si="103"/>
        <v>0</v>
      </c>
      <c r="JB8" s="746">
        <f t="shared" si="104"/>
        <v>0</v>
      </c>
      <c r="JF8" s="545">
        <f t="shared" si="123"/>
        <v>5</v>
      </c>
      <c r="JG8" s="761">
        <f t="shared" si="73"/>
        <v>5</v>
      </c>
      <c r="JH8" s="655" t="s">
        <v>394</v>
      </c>
      <c r="JI8" s="656">
        <f t="shared" si="105"/>
        <v>0</v>
      </c>
      <c r="JJ8" s="756">
        <f t="shared" si="106"/>
        <v>3149</v>
      </c>
      <c r="JK8" s="756">
        <v>3149</v>
      </c>
      <c r="JL8" s="647">
        <f t="shared" si="126"/>
        <v>0</v>
      </c>
      <c r="JM8" s="756">
        <f t="shared" si="108"/>
        <v>0</v>
      </c>
      <c r="JN8" s="648">
        <v>10000</v>
      </c>
      <c r="JS8" s="756">
        <v>3149</v>
      </c>
      <c r="JT8" s="756">
        <f t="shared" si="109"/>
        <v>0</v>
      </c>
      <c r="JU8" s="1009">
        <v>0</v>
      </c>
      <c r="JV8" s="1009">
        <f t="shared" si="110"/>
        <v>0</v>
      </c>
      <c r="JW8" s="978">
        <f t="shared" si="124"/>
        <v>0</v>
      </c>
      <c r="JX8" s="997">
        <v>0</v>
      </c>
      <c r="JY8" s="997">
        <f t="shared" si="111"/>
        <v>0</v>
      </c>
      <c r="JZ8" s="516"/>
      <c r="KA8" s="516"/>
      <c r="KB8" s="516"/>
      <c r="KC8" s="516"/>
      <c r="KE8" s="516"/>
      <c r="KF8" s="516"/>
    </row>
    <row r="9" spans="1:292" ht="17.25" thickBot="1" x14ac:dyDescent="0.35">
      <c r="A9" s="222">
        <v>6</v>
      </c>
      <c r="B9" s="653" t="s">
        <v>50</v>
      </c>
      <c r="C9" s="650">
        <f>'ABDA 8 month Phase I'!MC19</f>
        <v>4015004.4093427504</v>
      </c>
      <c r="D9" s="651">
        <f t="shared" si="0"/>
        <v>3.1061297983136192E-2</v>
      </c>
      <c r="E9" s="986">
        <v>0.18374188525883148</v>
      </c>
      <c r="I9" s="222">
        <f t="shared" si="112"/>
        <v>6</v>
      </c>
      <c r="J9" s="659">
        <f t="shared" si="1"/>
        <v>6</v>
      </c>
      <c r="K9" s="660" t="s">
        <v>395</v>
      </c>
      <c r="L9" s="991">
        <v>4759525.2530038618</v>
      </c>
      <c r="M9" s="662">
        <f t="shared" si="2"/>
        <v>2.1781399315252675E-3</v>
      </c>
      <c r="N9" s="661">
        <v>1810</v>
      </c>
      <c r="O9" s="661">
        <f t="shared" si="74"/>
        <v>2629.5719629855589</v>
      </c>
      <c r="P9" s="662">
        <f t="shared" si="3"/>
        <v>1.4804999457406146E-3</v>
      </c>
      <c r="Q9" s="663" t="s">
        <v>379</v>
      </c>
      <c r="U9" s="551">
        <f t="shared" si="113"/>
        <v>6</v>
      </c>
      <c r="V9" s="670">
        <f t="shared" si="4"/>
        <v>6</v>
      </c>
      <c r="W9" s="660" t="s">
        <v>395</v>
      </c>
      <c r="X9" s="671">
        <f t="shared" si="75"/>
        <v>303160.13130103669</v>
      </c>
      <c r="Y9" s="662">
        <f t="shared" si="5"/>
        <v>3.1406197200071363E-3</v>
      </c>
      <c r="AC9" s="551">
        <f t="shared" si="114"/>
        <v>6</v>
      </c>
      <c r="AD9" s="681">
        <v>6</v>
      </c>
      <c r="AE9" s="682" t="s">
        <v>395</v>
      </c>
      <c r="AF9" s="683">
        <v>6.16</v>
      </c>
      <c r="AP9" s="551">
        <f t="shared" si="77"/>
        <v>6</v>
      </c>
      <c r="AQ9" s="697">
        <f t="shared" si="6"/>
        <v>6</v>
      </c>
      <c r="AR9" s="660" t="s">
        <v>395</v>
      </c>
      <c r="AS9" s="660">
        <f t="shared" si="7"/>
        <v>6.16</v>
      </c>
      <c r="AT9" s="698">
        <f t="shared" si="78"/>
        <v>4759525.2530038618</v>
      </c>
      <c r="AU9" s="698">
        <f t="shared" si="115"/>
        <v>8144.0765440288296</v>
      </c>
      <c r="AV9" s="699">
        <f t="shared" si="8"/>
        <v>8410.0643129416258</v>
      </c>
      <c r="AW9" s="700">
        <f t="shared" si="9"/>
        <v>21.592508896755891</v>
      </c>
      <c r="AX9" s="671">
        <f t="shared" si="125"/>
        <v>181594.38849948128</v>
      </c>
      <c r="AY9" s="465">
        <f t="shared" si="79"/>
        <v>4.3347273936670278E-3</v>
      </c>
      <c r="AZ9" s="553">
        <f t="shared" si="10"/>
        <v>3.8153890000000001</v>
      </c>
      <c r="BK9" s="222">
        <f t="shared" si="116"/>
        <v>6</v>
      </c>
      <c r="BL9" s="663">
        <f t="shared" si="11"/>
        <v>6</v>
      </c>
      <c r="BM9" s="660" t="s">
        <v>395</v>
      </c>
      <c r="BN9" s="662">
        <f t="shared" si="80"/>
        <v>4.3347273936670278E-3</v>
      </c>
      <c r="BO9" s="671">
        <f t="shared" si="81"/>
        <v>41555.786971395704</v>
      </c>
      <c r="BP9" s="662">
        <f t="shared" si="82"/>
        <v>2.1781399315252675E-3</v>
      </c>
      <c r="BQ9" s="671">
        <f t="shared" si="83"/>
        <v>20881.202153702794</v>
      </c>
      <c r="BR9" s="710">
        <f t="shared" si="12"/>
        <v>62436.989125098495</v>
      </c>
      <c r="BS9" s="711">
        <f t="shared" si="13"/>
        <v>1.3118320000000001</v>
      </c>
      <c r="BW9" s="274">
        <v>6</v>
      </c>
      <c r="BX9" s="572" t="s">
        <v>71</v>
      </c>
      <c r="BY9" s="576">
        <f>SUM(BY4:BY8)</f>
        <v>1.0000000000000004</v>
      </c>
      <c r="BZ9" s="577">
        <f>'ABDA 8 month Phase II'!C7</f>
        <v>25073716.728897151</v>
      </c>
      <c r="CA9" s="578"/>
      <c r="CB9" s="578"/>
      <c r="CC9" s="577">
        <f>SUM(CC4:CC8)</f>
        <v>5861738.7768834978</v>
      </c>
      <c r="CD9" s="577">
        <f>SUM(CD4:CD8)</f>
        <v>19211977.952013664</v>
      </c>
      <c r="CH9" s="222">
        <f t="shared" si="117"/>
        <v>6</v>
      </c>
      <c r="CI9" s="681">
        <f t="shared" si="15"/>
        <v>6</v>
      </c>
      <c r="CJ9" s="660" t="s">
        <v>395</v>
      </c>
      <c r="CK9" s="723">
        <f t="shared" si="16"/>
        <v>2.1781399315252675E-3</v>
      </c>
      <c r="CL9" s="650">
        <f t="shared" si="17"/>
        <v>12767.687298100027</v>
      </c>
      <c r="CM9" s="723">
        <f t="shared" si="18"/>
        <v>1.4804999457406146E-3</v>
      </c>
      <c r="CN9" s="650">
        <f t="shared" si="19"/>
        <v>28443.332315526113</v>
      </c>
      <c r="CO9" s="650">
        <f t="shared" si="20"/>
        <v>41211.019613626137</v>
      </c>
      <c r="CP9" s="723">
        <f t="shared" si="21"/>
        <v>1.6435943685257845E-3</v>
      </c>
      <c r="CQ9" s="724">
        <f t="shared" si="22"/>
        <v>0.86586399999999997</v>
      </c>
      <c r="DG9" s="551">
        <f t="shared" si="118"/>
        <v>6</v>
      </c>
      <c r="DH9" s="677">
        <f t="shared" si="24"/>
        <v>6</v>
      </c>
      <c r="DI9" s="660" t="s">
        <v>395</v>
      </c>
      <c r="DJ9" s="723">
        <f t="shared" si="25"/>
        <v>1.6435943685257845E-3</v>
      </c>
      <c r="DK9" s="650">
        <f t="shared" si="84"/>
        <v>619.13334440324752</v>
      </c>
      <c r="DL9" s="723">
        <f t="shared" si="26"/>
        <v>1.4804999457406146E-3</v>
      </c>
      <c r="DM9" s="650">
        <f t="shared" si="27"/>
        <v>3624.4644887527379</v>
      </c>
      <c r="DN9" s="723">
        <f t="shared" si="28"/>
        <v>2.1781399315252675E-3</v>
      </c>
      <c r="DO9" s="650">
        <f t="shared" si="29"/>
        <v>7729.9224194945618</v>
      </c>
      <c r="DP9" s="650">
        <f t="shared" si="85"/>
        <v>11973.520252650547</v>
      </c>
      <c r="DQ9" s="723">
        <f t="shared" si="30"/>
        <v>1.8785840313234421E-3</v>
      </c>
      <c r="DR9" s="724">
        <f t="shared" si="31"/>
        <v>0.25157000000000002</v>
      </c>
      <c r="DV9" s="551">
        <f t="shared" si="119"/>
        <v>6</v>
      </c>
      <c r="DW9" s="677">
        <f t="shared" si="32"/>
        <v>6</v>
      </c>
      <c r="DX9" s="660" t="s">
        <v>395</v>
      </c>
      <c r="DY9" s="723">
        <f t="shared" si="33"/>
        <v>1.4804999457406146E-3</v>
      </c>
      <c r="DZ9" s="650">
        <f t="shared" si="34"/>
        <v>5944.2138101802702</v>
      </c>
      <c r="EA9" s="724">
        <f t="shared" si="35"/>
        <v>0.124891</v>
      </c>
      <c r="EG9" s="12" t="s">
        <v>427</v>
      </c>
      <c r="EM9" s="551">
        <f t="shared" si="120"/>
        <v>6</v>
      </c>
      <c r="EN9" s="677">
        <f t="shared" si="36"/>
        <v>6</v>
      </c>
      <c r="EO9" s="660" t="s">
        <v>395</v>
      </c>
      <c r="EP9" s="723">
        <f t="shared" si="37"/>
        <v>3.1406197200071363E-3</v>
      </c>
      <c r="EQ9" s="650">
        <f t="shared" si="38"/>
        <v>24584.203267835368</v>
      </c>
      <c r="ER9" s="723">
        <f t="shared" si="39"/>
        <v>1.6435943685257845E-3</v>
      </c>
      <c r="ES9" s="650">
        <f t="shared" si="40"/>
        <v>1660.7540460169737</v>
      </c>
      <c r="ET9" s="723">
        <f t="shared" si="41"/>
        <v>2.1781399315252675E-3</v>
      </c>
      <c r="EU9" s="650">
        <f t="shared" si="42"/>
        <v>9316.7989174610957</v>
      </c>
      <c r="EV9" s="650">
        <f t="shared" si="43"/>
        <v>35561.75623131344</v>
      </c>
      <c r="EW9" s="723">
        <f t="shared" si="44"/>
        <v>2.7113945243562058E-3</v>
      </c>
      <c r="EX9" s="724">
        <f t="shared" si="45"/>
        <v>0.74717</v>
      </c>
      <c r="FH9" s="551">
        <f t="shared" si="121"/>
        <v>6</v>
      </c>
      <c r="FI9" s="670">
        <f t="shared" si="46"/>
        <v>6</v>
      </c>
      <c r="FJ9" s="660" t="s">
        <v>395</v>
      </c>
      <c r="FK9" s="723">
        <f t="shared" si="47"/>
        <v>3.1406197200071363E-3</v>
      </c>
      <c r="FL9" s="650">
        <f t="shared" si="48"/>
        <v>61698.240852128263</v>
      </c>
      <c r="FM9" s="724">
        <f t="shared" si="49"/>
        <v>1.296311</v>
      </c>
      <c r="FQ9" s="222">
        <v>6</v>
      </c>
      <c r="FR9" s="670">
        <v>6</v>
      </c>
      <c r="FS9" s="660" t="s">
        <v>395</v>
      </c>
      <c r="FT9" s="650">
        <f t="shared" si="50"/>
        <v>181594.38849948128</v>
      </c>
      <c r="FU9" s="650">
        <f t="shared" si="51"/>
        <v>62436.989125098495</v>
      </c>
      <c r="FV9" s="650">
        <f t="shared" si="52"/>
        <v>41211.019613626137</v>
      </c>
      <c r="FW9" s="650">
        <f t="shared" si="87"/>
        <v>11973.520252650547</v>
      </c>
      <c r="FX9" s="650">
        <f t="shared" si="53"/>
        <v>5944.2138101802702</v>
      </c>
      <c r="FY9" s="650">
        <f t="shared" si="54"/>
        <v>35561.75623131344</v>
      </c>
      <c r="FZ9" s="650">
        <f t="shared" si="55"/>
        <v>61698.240852128263</v>
      </c>
      <c r="GA9" s="650">
        <f t="shared" si="56"/>
        <v>400420.12838447839</v>
      </c>
      <c r="GB9" s="747">
        <f t="shared" si="57"/>
        <v>8.4130269999999996</v>
      </c>
      <c r="GF9" s="551">
        <f t="shared" si="88"/>
        <v>6</v>
      </c>
      <c r="GG9" s="670">
        <f t="shared" si="58"/>
        <v>6</v>
      </c>
      <c r="GH9" s="660" t="s">
        <v>395</v>
      </c>
      <c r="GI9" s="724">
        <f t="shared" si="59"/>
        <v>3.8153890000000001</v>
      </c>
      <c r="GJ9" s="724">
        <f t="shared" si="60"/>
        <v>1.3118320000000001</v>
      </c>
      <c r="GK9" s="724">
        <f t="shared" si="61"/>
        <v>0.86586399999999997</v>
      </c>
      <c r="GL9" s="724">
        <f t="shared" si="62"/>
        <v>0.25157000000000002</v>
      </c>
      <c r="GM9" s="724">
        <f t="shared" si="63"/>
        <v>0.124891</v>
      </c>
      <c r="GN9" s="724">
        <f t="shared" si="64"/>
        <v>0.74717</v>
      </c>
      <c r="GO9" s="724">
        <f t="shared" si="65"/>
        <v>1.296311</v>
      </c>
      <c r="GP9" s="724">
        <f t="shared" si="66"/>
        <v>8.4130269999999996</v>
      </c>
      <c r="GQ9" s="661">
        <f t="shared" si="89"/>
        <v>4759525.2530038618</v>
      </c>
      <c r="GR9" s="530"/>
      <c r="GU9" s="222">
        <f t="shared" si="90"/>
        <v>6</v>
      </c>
      <c r="GV9" s="670">
        <f t="shared" si="67"/>
        <v>6</v>
      </c>
      <c r="GW9" s="660" t="s">
        <v>395</v>
      </c>
      <c r="GX9" s="663" t="s">
        <v>379</v>
      </c>
      <c r="GY9" s="671">
        <f t="shared" si="68"/>
        <v>400420.12838447839</v>
      </c>
      <c r="GZ9" s="661">
        <f t="shared" si="69"/>
        <v>4759525.2530038618</v>
      </c>
      <c r="HA9" s="724">
        <f t="shared" si="91"/>
        <v>8.4130269999999996</v>
      </c>
      <c r="HB9" s="650">
        <f t="shared" si="70"/>
        <v>400420.14460703323</v>
      </c>
      <c r="HC9" s="750">
        <f t="shared" si="71"/>
        <v>1.6222554841078818E-2</v>
      </c>
      <c r="HD9" s="549"/>
      <c r="HG9" s="549"/>
      <c r="HH9" s="549"/>
      <c r="HI9" s="549"/>
      <c r="HJ9" s="549"/>
      <c r="HK9" s="549"/>
      <c r="HL9" s="549"/>
      <c r="HM9" s="549"/>
      <c r="HP9" s="551">
        <f t="shared" si="122"/>
        <v>6</v>
      </c>
      <c r="HQ9" s="762">
        <f t="shared" si="72"/>
        <v>6</v>
      </c>
      <c r="HR9" s="660" t="s">
        <v>395</v>
      </c>
      <c r="HS9" s="661">
        <f t="shared" si="92"/>
        <v>4759525.2530038618</v>
      </c>
      <c r="HT9" s="757">
        <f t="shared" si="93"/>
        <v>8.4130269999999996</v>
      </c>
      <c r="HU9" s="757">
        <v>7.3521840000000003</v>
      </c>
      <c r="HV9" s="651">
        <f t="shared" si="94"/>
        <v>0.14428950635620641</v>
      </c>
      <c r="HW9" s="757">
        <f t="shared" si="95"/>
        <v>1.0608429999999993</v>
      </c>
      <c r="HX9" s="652">
        <v>10</v>
      </c>
      <c r="IO9" s="551">
        <v>6</v>
      </c>
      <c r="IP9" s="762">
        <v>6</v>
      </c>
      <c r="IQ9" s="660" t="s">
        <v>395</v>
      </c>
      <c r="IR9" s="772">
        <f t="shared" si="96"/>
        <v>400420.12838447839</v>
      </c>
      <c r="IS9" s="773">
        <f t="shared" si="96"/>
        <v>4759525.2530038618</v>
      </c>
      <c r="IT9" s="774">
        <f t="shared" si="96"/>
        <v>8.4130269999999996</v>
      </c>
      <c r="IU9" s="661">
        <f t="shared" si="97"/>
        <v>698822.37620434479</v>
      </c>
      <c r="IV9" s="661">
        <f t="shared" si="98"/>
        <v>4060702.8767995168</v>
      </c>
      <c r="IW9" s="772">
        <f t="shared" si="99"/>
        <v>10482.335643065171</v>
      </c>
      <c r="IX9" s="772">
        <f t="shared" si="100"/>
        <v>389937.79274141323</v>
      </c>
      <c r="IY9" s="455">
        <f t="shared" si="101"/>
        <v>8.1927875578622729</v>
      </c>
      <c r="IZ9" s="555">
        <f t="shared" si="102"/>
        <v>9.6927875578622729</v>
      </c>
      <c r="JA9" s="772">
        <f t="shared" si="103"/>
        <v>400420.12838447839</v>
      </c>
      <c r="JB9" s="778">
        <f t="shared" si="104"/>
        <v>0.22023944213772673</v>
      </c>
      <c r="JF9" s="551">
        <f t="shared" si="123"/>
        <v>6</v>
      </c>
      <c r="JG9" s="762">
        <f t="shared" si="73"/>
        <v>6</v>
      </c>
      <c r="JH9" s="660" t="s">
        <v>395</v>
      </c>
      <c r="JI9" s="661">
        <f t="shared" si="105"/>
        <v>4759525.2530038618</v>
      </c>
      <c r="JJ9" s="757">
        <f t="shared" si="106"/>
        <v>8.1927875578622729</v>
      </c>
      <c r="JK9" s="757">
        <v>7.129950632713701</v>
      </c>
      <c r="JL9" s="651">
        <f t="shared" si="126"/>
        <v>0.14906651951726757</v>
      </c>
      <c r="JM9" s="757">
        <f t="shared" si="108"/>
        <v>1.0628369251485719</v>
      </c>
      <c r="JN9" s="652">
        <v>10</v>
      </c>
      <c r="JS9" s="757">
        <v>8.1980025538460239</v>
      </c>
      <c r="JT9" s="757">
        <f t="shared" si="109"/>
        <v>-5.2149959837510806E-3</v>
      </c>
      <c r="JU9" s="1010">
        <v>4852924</v>
      </c>
      <c r="JV9" s="1010">
        <f t="shared" si="110"/>
        <v>93398.746996138245</v>
      </c>
      <c r="JW9" s="978">
        <f t="shared" si="124"/>
        <v>-6.3613007552730137E-4</v>
      </c>
      <c r="JX9" s="997">
        <v>397842.8334562066</v>
      </c>
      <c r="JY9" s="997">
        <f t="shared" si="111"/>
        <v>389937.79274141329</v>
      </c>
      <c r="JZ9" s="516"/>
      <c r="KA9" s="516"/>
      <c r="KB9" s="997"/>
      <c r="KC9" s="516"/>
      <c r="KE9" s="516"/>
      <c r="KF9" s="516"/>
    </row>
    <row r="10" spans="1:292" ht="16.5" x14ac:dyDescent="0.3">
      <c r="A10" s="543">
        <v>7</v>
      </c>
      <c r="B10" s="645" t="s">
        <v>53</v>
      </c>
      <c r="C10" s="646">
        <f>'ABDA 8 month Phase I'!MC20</f>
        <v>13115670.151232321</v>
      </c>
      <c r="D10" s="647">
        <f t="shared" si="0"/>
        <v>0.1014668222699763</v>
      </c>
      <c r="E10" s="986">
        <v>0.60022299213736274</v>
      </c>
      <c r="I10" s="543">
        <f t="shared" si="112"/>
        <v>7</v>
      </c>
      <c r="J10" s="654">
        <f t="shared" si="1"/>
        <v>7</v>
      </c>
      <c r="K10" s="655" t="s">
        <v>396</v>
      </c>
      <c r="L10" s="991">
        <v>37618768.970083825</v>
      </c>
      <c r="M10" s="657">
        <f t="shared" si="2"/>
        <v>1.7215780674101774E-2</v>
      </c>
      <c r="N10" s="656">
        <v>892</v>
      </c>
      <c r="O10" s="656">
        <f t="shared" si="74"/>
        <v>42173.507813995318</v>
      </c>
      <c r="P10" s="657">
        <f t="shared" si="3"/>
        <v>2.374450173229747E-2</v>
      </c>
      <c r="Q10" s="658" t="s">
        <v>379</v>
      </c>
      <c r="U10" s="545">
        <f t="shared" si="113"/>
        <v>7</v>
      </c>
      <c r="V10" s="669">
        <f t="shared" si="4"/>
        <v>7</v>
      </c>
      <c r="W10" s="655" t="s">
        <v>396</v>
      </c>
      <c r="X10" s="646">
        <f t="shared" si="75"/>
        <v>2342326.1797362277</v>
      </c>
      <c r="Y10" s="657">
        <f t="shared" si="5"/>
        <v>2.4265577928067814E-2</v>
      </c>
      <c r="AC10" s="545">
        <f t="shared" si="114"/>
        <v>7</v>
      </c>
      <c r="AD10" s="678">
        <v>7</v>
      </c>
      <c r="AE10" s="679" t="s">
        <v>396</v>
      </c>
      <c r="AF10" s="680">
        <v>4.88</v>
      </c>
      <c r="AP10" s="545">
        <f t="shared" si="77"/>
        <v>7</v>
      </c>
      <c r="AQ10" s="693">
        <f t="shared" si="6"/>
        <v>7</v>
      </c>
      <c r="AR10" s="655" t="s">
        <v>396</v>
      </c>
      <c r="AS10" s="655">
        <f t="shared" si="7"/>
        <v>4.88</v>
      </c>
      <c r="AT10" s="694">
        <f t="shared" si="78"/>
        <v>37618768.970083825</v>
      </c>
      <c r="AU10" s="694">
        <f t="shared" si="115"/>
        <v>50994.331270558076</v>
      </c>
      <c r="AV10" s="695">
        <f t="shared" si="8"/>
        <v>52659.820086696564</v>
      </c>
      <c r="AW10" s="696">
        <f t="shared" si="9"/>
        <v>21.592508896755891</v>
      </c>
      <c r="AX10" s="646">
        <f t="shared" si="125"/>
        <v>1137057.6337235603</v>
      </c>
      <c r="AY10" s="544">
        <f t="shared" si="79"/>
        <v>2.714199989221476E-2</v>
      </c>
      <c r="AZ10" s="548">
        <f t="shared" si="10"/>
        <v>3.0225810000000002</v>
      </c>
      <c r="BK10" s="543">
        <f t="shared" si="116"/>
        <v>7</v>
      </c>
      <c r="BL10" s="658">
        <f t="shared" si="11"/>
        <v>7</v>
      </c>
      <c r="BM10" s="655" t="s">
        <v>396</v>
      </c>
      <c r="BN10" s="657">
        <f t="shared" si="80"/>
        <v>2.714199989221476E-2</v>
      </c>
      <c r="BO10" s="646">
        <f t="shared" si="81"/>
        <v>260202.5601763048</v>
      </c>
      <c r="BP10" s="657">
        <f t="shared" si="82"/>
        <v>1.7215780674101774E-2</v>
      </c>
      <c r="BQ10" s="646">
        <f t="shared" si="83"/>
        <v>165042.74646762229</v>
      </c>
      <c r="BR10" s="708">
        <f t="shared" si="12"/>
        <v>425245.30664392712</v>
      </c>
      <c r="BS10" s="709">
        <f t="shared" si="13"/>
        <v>1.1304069999999999</v>
      </c>
      <c r="BV10" s="15"/>
      <c r="BW10" s="190"/>
      <c r="BX10" s="190"/>
      <c r="BY10" s="190"/>
      <c r="BZ10" s="190"/>
      <c r="CA10" s="190"/>
      <c r="CB10" s="190"/>
      <c r="CC10" s="190"/>
      <c r="CD10" s="190"/>
      <c r="CH10" s="543">
        <f t="shared" si="117"/>
        <v>7</v>
      </c>
      <c r="CI10" s="678">
        <f t="shared" si="15"/>
        <v>7</v>
      </c>
      <c r="CJ10" s="655" t="s">
        <v>396</v>
      </c>
      <c r="CK10" s="657">
        <f t="shared" si="16"/>
        <v>1.7215780674101774E-2</v>
      </c>
      <c r="CL10" s="646">
        <f t="shared" si="17"/>
        <v>100914.40915170389</v>
      </c>
      <c r="CM10" s="657">
        <f t="shared" si="18"/>
        <v>2.374450173229747E-2</v>
      </c>
      <c r="CN10" s="646">
        <f t="shared" si="19"/>
        <v>456178.84376244928</v>
      </c>
      <c r="CO10" s="646">
        <f t="shared" si="20"/>
        <v>557093.25291415316</v>
      </c>
      <c r="CP10" s="657">
        <f t="shared" si="21"/>
        <v>2.2218215948499955E-2</v>
      </c>
      <c r="CQ10" s="709">
        <f t="shared" si="22"/>
        <v>1.4808920000000001</v>
      </c>
      <c r="DC10" s="411"/>
      <c r="DD10" s="15"/>
      <c r="DG10" s="545">
        <f t="shared" si="118"/>
        <v>7</v>
      </c>
      <c r="DH10" s="739">
        <f t="shared" si="24"/>
        <v>7</v>
      </c>
      <c r="DI10" s="655" t="s">
        <v>396</v>
      </c>
      <c r="DJ10" s="657">
        <f t="shared" si="25"/>
        <v>2.2218215948499955E-2</v>
      </c>
      <c r="DK10" s="646">
        <f t="shared" si="84"/>
        <v>8369.4849594835086</v>
      </c>
      <c r="DL10" s="657">
        <f t="shared" si="26"/>
        <v>2.374450173229747E-2</v>
      </c>
      <c r="DM10" s="646">
        <f t="shared" si="27"/>
        <v>58129.757842570063</v>
      </c>
      <c r="DN10" s="657">
        <f t="shared" si="28"/>
        <v>1.7215780674101774E-2</v>
      </c>
      <c r="DO10" s="646">
        <f t="shared" si="29"/>
        <v>61096.464499712856</v>
      </c>
      <c r="DP10" s="646">
        <f t="shared" si="85"/>
        <v>127595.70730176644</v>
      </c>
      <c r="DQ10" s="657">
        <f t="shared" si="30"/>
        <v>2.0019113272010107E-2</v>
      </c>
      <c r="DR10" s="709">
        <f t="shared" si="31"/>
        <v>0.33918100000000001</v>
      </c>
      <c r="DV10" s="545">
        <f t="shared" si="119"/>
        <v>7</v>
      </c>
      <c r="DW10" s="739">
        <f t="shared" si="32"/>
        <v>7</v>
      </c>
      <c r="DX10" s="655" t="s">
        <v>396</v>
      </c>
      <c r="DY10" s="657">
        <f t="shared" si="33"/>
        <v>2.374450173229747E-2</v>
      </c>
      <c r="DZ10" s="646">
        <f t="shared" si="34"/>
        <v>95334.27915282092</v>
      </c>
      <c r="EA10" s="709">
        <f t="shared" si="35"/>
        <v>0.25342199999999998</v>
      </c>
      <c r="EG10" s="16"/>
      <c r="EH10" s="16"/>
      <c r="EI10" s="16"/>
      <c r="EM10" s="545">
        <f t="shared" si="120"/>
        <v>7</v>
      </c>
      <c r="EN10" s="739">
        <f t="shared" si="36"/>
        <v>7</v>
      </c>
      <c r="EO10" s="655" t="s">
        <v>396</v>
      </c>
      <c r="EP10" s="657">
        <f t="shared" si="37"/>
        <v>2.4265577928067814E-2</v>
      </c>
      <c r="EQ10" s="646">
        <f t="shared" si="38"/>
        <v>189946.55621463238</v>
      </c>
      <c r="ER10" s="657">
        <f t="shared" si="39"/>
        <v>2.2218215948499955E-2</v>
      </c>
      <c r="ES10" s="646">
        <f t="shared" si="40"/>
        <v>22450.181588810479</v>
      </c>
      <c r="ET10" s="657">
        <f t="shared" si="41"/>
        <v>1.7215780674101774E-2</v>
      </c>
      <c r="EU10" s="646">
        <f t="shared" si="42"/>
        <v>73638.963422978966</v>
      </c>
      <c r="EV10" s="646">
        <f t="shared" si="43"/>
        <v>286035.70122642186</v>
      </c>
      <c r="EW10" s="657">
        <f t="shared" si="44"/>
        <v>2.1808698902018864E-2</v>
      </c>
      <c r="EX10" s="709">
        <f t="shared" si="45"/>
        <v>0.76035399999999997</v>
      </c>
      <c r="FH10" s="545">
        <f t="shared" si="121"/>
        <v>7</v>
      </c>
      <c r="FI10" s="669">
        <f t="shared" si="46"/>
        <v>7</v>
      </c>
      <c r="FJ10" s="655" t="s">
        <v>396</v>
      </c>
      <c r="FK10" s="657">
        <f t="shared" si="47"/>
        <v>2.4265577928067814E-2</v>
      </c>
      <c r="FL10" s="646">
        <f t="shared" si="48"/>
        <v>476703.20029023237</v>
      </c>
      <c r="FM10" s="709">
        <f t="shared" si="49"/>
        <v>1.2671950000000001</v>
      </c>
      <c r="FQ10" s="543">
        <v>7</v>
      </c>
      <c r="FR10" s="669">
        <v>7</v>
      </c>
      <c r="FS10" s="655" t="s">
        <v>396</v>
      </c>
      <c r="FT10" s="646">
        <f t="shared" si="50"/>
        <v>1137057.6337235603</v>
      </c>
      <c r="FU10" s="646">
        <f t="shared" si="51"/>
        <v>425245.30664392712</v>
      </c>
      <c r="FV10" s="646">
        <f t="shared" si="52"/>
        <v>557093.25291415316</v>
      </c>
      <c r="FW10" s="646">
        <f t="shared" si="87"/>
        <v>127595.70730176644</v>
      </c>
      <c r="FX10" s="646">
        <f t="shared" si="53"/>
        <v>95334.27915282092</v>
      </c>
      <c r="FY10" s="646">
        <f t="shared" si="54"/>
        <v>286035.70122642186</v>
      </c>
      <c r="FZ10" s="646">
        <f>VLOOKUP(FR10,$FI$4:$FL$27,$FZ$33,FALSE)</f>
        <v>476703.20029023237</v>
      </c>
      <c r="GA10" s="646">
        <f t="shared" si="56"/>
        <v>3105065.0812528818</v>
      </c>
      <c r="GB10" s="746">
        <f t="shared" si="57"/>
        <v>8.2540320000000005</v>
      </c>
      <c r="GF10" s="545">
        <f t="shared" si="88"/>
        <v>7</v>
      </c>
      <c r="GG10" s="669">
        <f t="shared" si="58"/>
        <v>7</v>
      </c>
      <c r="GH10" s="655" t="s">
        <v>396</v>
      </c>
      <c r="GI10" s="709">
        <f t="shared" si="59"/>
        <v>3.0225810000000002</v>
      </c>
      <c r="GJ10" s="709">
        <f t="shared" si="60"/>
        <v>1.1304069999999999</v>
      </c>
      <c r="GK10" s="709">
        <f t="shared" si="61"/>
        <v>1.4808920000000001</v>
      </c>
      <c r="GL10" s="709">
        <f t="shared" si="62"/>
        <v>0.33918100000000001</v>
      </c>
      <c r="GM10" s="709">
        <f t="shared" si="63"/>
        <v>0.25342199999999998</v>
      </c>
      <c r="GN10" s="709">
        <f t="shared" si="64"/>
        <v>0.76035399999999997</v>
      </c>
      <c r="GO10" s="709">
        <f t="shared" si="65"/>
        <v>1.2671950000000001</v>
      </c>
      <c r="GP10" s="709">
        <f t="shared" si="66"/>
        <v>8.2540320000000005</v>
      </c>
      <c r="GQ10" s="656">
        <f t="shared" si="89"/>
        <v>37618768.970083825</v>
      </c>
      <c r="GR10" s="530"/>
      <c r="GU10" s="543">
        <f t="shared" si="90"/>
        <v>7</v>
      </c>
      <c r="GV10" s="669">
        <f t="shared" si="67"/>
        <v>7</v>
      </c>
      <c r="GW10" s="655" t="s">
        <v>396</v>
      </c>
      <c r="GX10" s="658" t="s">
        <v>379</v>
      </c>
      <c r="GY10" s="646">
        <f t="shared" si="68"/>
        <v>3105065.0812528818</v>
      </c>
      <c r="GZ10" s="656">
        <f t="shared" si="69"/>
        <v>37618768.970083825</v>
      </c>
      <c r="HA10" s="709">
        <f t="shared" si="91"/>
        <v>8.2540320000000005</v>
      </c>
      <c r="HB10" s="646">
        <f t="shared" si="70"/>
        <v>3105065.2287967894</v>
      </c>
      <c r="HC10" s="749">
        <f t="shared" si="71"/>
        <v>0.14754390763118863</v>
      </c>
      <c r="HD10" s="549"/>
      <c r="HG10" s="549"/>
      <c r="HH10" s="549"/>
      <c r="HI10" s="549"/>
      <c r="HJ10" s="549"/>
      <c r="HK10" s="549"/>
      <c r="HL10" s="549"/>
      <c r="HM10" s="549"/>
      <c r="HP10" s="545">
        <f t="shared" si="122"/>
        <v>7</v>
      </c>
      <c r="HQ10" s="761">
        <f t="shared" si="72"/>
        <v>7</v>
      </c>
      <c r="HR10" s="655" t="s">
        <v>396</v>
      </c>
      <c r="HS10" s="656">
        <f t="shared" si="92"/>
        <v>37618768.970083825</v>
      </c>
      <c r="HT10" s="756">
        <f t="shared" si="93"/>
        <v>8.2540320000000005</v>
      </c>
      <c r="HU10" s="756">
        <v>7.2431219999999996</v>
      </c>
      <c r="HV10" s="647">
        <f t="shared" si="94"/>
        <v>0.13956826904199615</v>
      </c>
      <c r="HW10" s="756">
        <f t="shared" si="95"/>
        <v>1.0109100000000009</v>
      </c>
      <c r="HX10" s="648">
        <v>10</v>
      </c>
      <c r="IO10" s="545">
        <v>7</v>
      </c>
      <c r="IP10" s="761">
        <v>7</v>
      </c>
      <c r="IQ10" s="655" t="s">
        <v>396</v>
      </c>
      <c r="IR10" s="769">
        <f t="shared" si="96"/>
        <v>3105065.0812528818</v>
      </c>
      <c r="IS10" s="770">
        <f t="shared" si="96"/>
        <v>37618768.970083825</v>
      </c>
      <c r="IT10" s="771">
        <f t="shared" si="96"/>
        <v>8.2540320000000005</v>
      </c>
      <c r="IU10" s="656">
        <f t="shared" si="97"/>
        <v>5523415.9131658506</v>
      </c>
      <c r="IV10" s="656">
        <f t="shared" si="98"/>
        <v>32095353.056917973</v>
      </c>
      <c r="IW10" s="769">
        <f t="shared" si="99"/>
        <v>82851.238697487759</v>
      </c>
      <c r="IX10" s="769">
        <f t="shared" si="100"/>
        <v>3022213.8425553939</v>
      </c>
      <c r="IY10" s="550">
        <f t="shared" si="101"/>
        <v>8.0337925064980116</v>
      </c>
      <c r="IZ10" s="550">
        <f t="shared" si="102"/>
        <v>9.5337925064980116</v>
      </c>
      <c r="JA10" s="769">
        <f t="shared" si="103"/>
        <v>3105065.0812528813</v>
      </c>
      <c r="JB10" s="746">
        <f t="shared" si="104"/>
        <v>0.2202394935019889</v>
      </c>
      <c r="JF10" s="545">
        <f t="shared" si="123"/>
        <v>7</v>
      </c>
      <c r="JG10" s="761">
        <f t="shared" si="73"/>
        <v>7</v>
      </c>
      <c r="JH10" s="655" t="s">
        <v>396</v>
      </c>
      <c r="JI10" s="656">
        <f t="shared" si="105"/>
        <v>37618768.970083825</v>
      </c>
      <c r="JJ10" s="756">
        <f t="shared" si="106"/>
        <v>8.0337925064980116</v>
      </c>
      <c r="JK10" s="756">
        <v>7.0208891708348835</v>
      </c>
      <c r="JL10" s="647">
        <f t="shared" si="126"/>
        <v>0.14426995085904193</v>
      </c>
      <c r="JM10" s="756">
        <f t="shared" si="108"/>
        <v>1.0129033356631281</v>
      </c>
      <c r="JN10" s="648">
        <v>10</v>
      </c>
      <c r="JS10" s="756">
        <v>8.0410158653363322</v>
      </c>
      <c r="JT10" s="756">
        <f t="shared" si="109"/>
        <v>-7.2233588383205927E-3</v>
      </c>
      <c r="JU10" s="1009">
        <v>36519236</v>
      </c>
      <c r="JV10" s="1009">
        <f t="shared" si="110"/>
        <v>-1099532.9700838253</v>
      </c>
      <c r="JW10" s="978">
        <f t="shared" si="124"/>
        <v>-8.9831421294160835E-4</v>
      </c>
      <c r="JX10" s="997">
        <v>2936517.5606596172</v>
      </c>
      <c r="JY10" s="997">
        <f t="shared" si="111"/>
        <v>3022213.8425553935</v>
      </c>
      <c r="JZ10" s="516"/>
      <c r="KA10" s="516"/>
      <c r="KB10" s="997"/>
      <c r="KC10" s="516"/>
      <c r="KE10" s="516"/>
      <c r="KF10" s="516"/>
    </row>
    <row r="11" spans="1:292" ht="16.5" x14ac:dyDescent="0.3">
      <c r="A11" s="222">
        <v>8</v>
      </c>
      <c r="B11" s="649" t="s">
        <v>232</v>
      </c>
      <c r="C11" s="650">
        <f>'ABDA 8 month Phase I'!MC23</f>
        <v>19979835.239455521</v>
      </c>
      <c r="D11" s="651">
        <f t="shared" si="0"/>
        <v>0.15457009575944261</v>
      </c>
      <c r="E11" s="986">
        <v>0.91362793435053979</v>
      </c>
      <c r="I11" s="222">
        <f t="shared" si="112"/>
        <v>8</v>
      </c>
      <c r="J11" s="659">
        <f t="shared" si="1"/>
        <v>8</v>
      </c>
      <c r="K11" s="660" t="s">
        <v>397</v>
      </c>
      <c r="L11" s="991">
        <v>24309956.258779779</v>
      </c>
      <c r="M11" s="662">
        <f t="shared" si="2"/>
        <v>1.1125161365088333E-2</v>
      </c>
      <c r="N11" s="661">
        <v>357</v>
      </c>
      <c r="O11" s="661">
        <f t="shared" si="74"/>
        <v>68095.1155708117</v>
      </c>
      <c r="P11" s="662">
        <f t="shared" si="3"/>
        <v>3.833886895923725E-2</v>
      </c>
      <c r="Q11" s="663" t="s">
        <v>379</v>
      </c>
      <c r="U11" s="551">
        <f t="shared" si="113"/>
        <v>8</v>
      </c>
      <c r="V11" s="670">
        <f t="shared" si="4"/>
        <v>8</v>
      </c>
      <c r="W11" s="660" t="s">
        <v>397</v>
      </c>
      <c r="X11" s="671">
        <f t="shared" si="75"/>
        <v>2913705.3104487951</v>
      </c>
      <c r="Y11" s="662">
        <f t="shared" si="5"/>
        <v>3.0184840984905949E-2</v>
      </c>
      <c r="AC11" s="551">
        <f t="shared" si="114"/>
        <v>8</v>
      </c>
      <c r="AD11" s="681">
        <v>8</v>
      </c>
      <c r="AE11" s="682" t="s">
        <v>397</v>
      </c>
      <c r="AF11" s="683">
        <v>9.2200000000000006</v>
      </c>
      <c r="AP11" s="551">
        <f t="shared" si="77"/>
        <v>8</v>
      </c>
      <c r="AQ11" s="697">
        <f t="shared" si="6"/>
        <v>8</v>
      </c>
      <c r="AR11" s="660" t="s">
        <v>397</v>
      </c>
      <c r="AS11" s="660">
        <f t="shared" si="7"/>
        <v>9.2200000000000006</v>
      </c>
      <c r="AT11" s="698">
        <f t="shared" si="78"/>
        <v>24309956.258779779</v>
      </c>
      <c r="AU11" s="698">
        <f t="shared" si="115"/>
        <v>62260.49908498599</v>
      </c>
      <c r="AV11" s="699">
        <f t="shared" si="8"/>
        <v>64293.944025426128</v>
      </c>
      <c r="AW11" s="700">
        <f t="shared" si="9"/>
        <v>21.592508896755891</v>
      </c>
      <c r="AX11" s="671">
        <f t="shared" si="125"/>
        <v>1388267.558376539</v>
      </c>
      <c r="AY11" s="465">
        <f t="shared" si="79"/>
        <v>3.3138476715932293E-2</v>
      </c>
      <c r="AZ11" s="553">
        <f t="shared" si="10"/>
        <v>5.7106950000000003</v>
      </c>
      <c r="BK11" s="222">
        <f t="shared" si="116"/>
        <v>8</v>
      </c>
      <c r="BL11" s="663">
        <f t="shared" si="11"/>
        <v>8</v>
      </c>
      <c r="BM11" s="660" t="s">
        <v>397</v>
      </c>
      <c r="BN11" s="662">
        <f t="shared" si="80"/>
        <v>3.3138476715932293E-2</v>
      </c>
      <c r="BO11" s="671">
        <f t="shared" si="81"/>
        <v>317689.06182560755</v>
      </c>
      <c r="BP11" s="662">
        <f t="shared" si="82"/>
        <v>1.1125161365088333E-2</v>
      </c>
      <c r="BQ11" s="671">
        <f t="shared" si="83"/>
        <v>106653.72784121273</v>
      </c>
      <c r="BR11" s="710">
        <f t="shared" si="12"/>
        <v>424342.78966682032</v>
      </c>
      <c r="BS11" s="711">
        <f t="shared" si="13"/>
        <v>1.7455510000000001</v>
      </c>
      <c r="BV11" s="15"/>
      <c r="BW11" s="190"/>
      <c r="BX11" s="190"/>
      <c r="BY11" s="190"/>
      <c r="BZ11" s="190"/>
      <c r="CA11" s="190"/>
      <c r="CB11" s="190"/>
      <c r="CC11" s="190"/>
      <c r="CD11" s="190"/>
      <c r="CH11" s="222">
        <f t="shared" si="117"/>
        <v>8</v>
      </c>
      <c r="CI11" s="681">
        <f t="shared" si="15"/>
        <v>8</v>
      </c>
      <c r="CJ11" s="660" t="s">
        <v>397</v>
      </c>
      <c r="CK11" s="723">
        <f t="shared" si="16"/>
        <v>1.1125161365088333E-2</v>
      </c>
      <c r="CL11" s="650">
        <f t="shared" si="17"/>
        <v>65212.789772824428</v>
      </c>
      <c r="CM11" s="723">
        <f t="shared" si="18"/>
        <v>3.833886895923725E-2</v>
      </c>
      <c r="CN11" s="650">
        <f t="shared" si="19"/>
        <v>736565.50515000708</v>
      </c>
      <c r="CO11" s="650">
        <f t="shared" si="20"/>
        <v>801778.29492283147</v>
      </c>
      <c r="CP11" s="723">
        <f t="shared" si="21"/>
        <v>3.1976842667237736E-2</v>
      </c>
      <c r="CQ11" s="724">
        <f t="shared" si="22"/>
        <v>3.2981479999999999</v>
      </c>
      <c r="DC11" s="411"/>
      <c r="DD11" s="15"/>
      <c r="DG11" s="551">
        <f t="shared" si="118"/>
        <v>8</v>
      </c>
      <c r="DH11" s="677">
        <f t="shared" si="24"/>
        <v>8</v>
      </c>
      <c r="DI11" s="660" t="s">
        <v>397</v>
      </c>
      <c r="DJ11" s="723">
        <f t="shared" si="25"/>
        <v>3.1976842667237736E-2</v>
      </c>
      <c r="DK11" s="650">
        <f t="shared" si="84"/>
        <v>12045.50826112956</v>
      </c>
      <c r="DL11" s="723">
        <f t="shared" si="26"/>
        <v>3.833886895923725E-2</v>
      </c>
      <c r="DM11" s="650">
        <f t="shared" si="27"/>
        <v>93858.746487279932</v>
      </c>
      <c r="DN11" s="723">
        <f t="shared" si="28"/>
        <v>1.1125161365088333E-2</v>
      </c>
      <c r="DO11" s="650">
        <f t="shared" si="29"/>
        <v>39481.684813643216</v>
      </c>
      <c r="DP11" s="650">
        <f t="shared" si="85"/>
        <v>145385.93956205272</v>
      </c>
      <c r="DQ11" s="723">
        <f t="shared" si="30"/>
        <v>2.2810309639704124E-2</v>
      </c>
      <c r="DR11" s="724">
        <f t="shared" si="31"/>
        <v>0.598051</v>
      </c>
      <c r="DV11" s="551">
        <f t="shared" si="119"/>
        <v>8</v>
      </c>
      <c r="DW11" s="677">
        <f t="shared" si="32"/>
        <v>8</v>
      </c>
      <c r="DX11" s="660" t="s">
        <v>397</v>
      </c>
      <c r="DY11" s="723">
        <f t="shared" si="33"/>
        <v>3.833886895923725E-2</v>
      </c>
      <c r="DZ11" s="650">
        <f t="shared" si="34"/>
        <v>153930.72792055146</v>
      </c>
      <c r="EA11" s="724">
        <f t="shared" si="35"/>
        <v>0.63319999999999999</v>
      </c>
      <c r="EG11" s="16"/>
      <c r="EH11" s="16"/>
      <c r="EI11" s="16"/>
      <c r="EM11" s="551">
        <f t="shared" si="120"/>
        <v>8</v>
      </c>
      <c r="EN11" s="677">
        <f t="shared" si="36"/>
        <v>8</v>
      </c>
      <c r="EO11" s="660" t="s">
        <v>397</v>
      </c>
      <c r="EP11" s="723">
        <f t="shared" si="37"/>
        <v>3.0184840984905949E-2</v>
      </c>
      <c r="EQ11" s="650">
        <f t="shared" si="38"/>
        <v>236281.47707692851</v>
      </c>
      <c r="ER11" s="723">
        <f t="shared" si="39"/>
        <v>3.1976842667237736E-2</v>
      </c>
      <c r="ES11" s="650">
        <f t="shared" si="40"/>
        <v>32310.691649604632</v>
      </c>
      <c r="ET11" s="723">
        <f t="shared" si="41"/>
        <v>1.1125161365088333E-2</v>
      </c>
      <c r="EU11" s="650">
        <f t="shared" si="42"/>
        <v>47586.883589362536</v>
      </c>
      <c r="EV11" s="650">
        <f t="shared" si="43"/>
        <v>316179.05231589568</v>
      </c>
      <c r="EW11" s="723">
        <f t="shared" si="44"/>
        <v>2.4106968890658491E-2</v>
      </c>
      <c r="EX11" s="724">
        <f t="shared" si="45"/>
        <v>1.3006150000000001</v>
      </c>
      <c r="FH11" s="551">
        <f t="shared" si="121"/>
        <v>8</v>
      </c>
      <c r="FI11" s="670">
        <f t="shared" si="46"/>
        <v>8</v>
      </c>
      <c r="FJ11" s="660" t="s">
        <v>397</v>
      </c>
      <c r="FK11" s="723">
        <f t="shared" si="47"/>
        <v>3.0184840984905949E-2</v>
      </c>
      <c r="FL11" s="650">
        <f t="shared" si="48"/>
        <v>592988.56760846172</v>
      </c>
      <c r="FM11" s="724">
        <f t="shared" si="49"/>
        <v>2.4392830000000001</v>
      </c>
      <c r="FQ11" s="222">
        <v>8</v>
      </c>
      <c r="FR11" s="670">
        <v>8</v>
      </c>
      <c r="FS11" s="660" t="s">
        <v>397</v>
      </c>
      <c r="FT11" s="650">
        <f t="shared" si="50"/>
        <v>1388267.558376539</v>
      </c>
      <c r="FU11" s="650">
        <f t="shared" si="51"/>
        <v>424342.78966682032</v>
      </c>
      <c r="FV11" s="650">
        <f t="shared" si="52"/>
        <v>801778.29492283147</v>
      </c>
      <c r="FW11" s="650">
        <f t="shared" si="87"/>
        <v>145385.93956205272</v>
      </c>
      <c r="FX11" s="650">
        <f t="shared" si="53"/>
        <v>153930.72792055146</v>
      </c>
      <c r="FY11" s="650">
        <f t="shared" si="54"/>
        <v>316179.05231589568</v>
      </c>
      <c r="FZ11" s="650">
        <f t="shared" si="55"/>
        <v>592988.56760846172</v>
      </c>
      <c r="GA11" s="650">
        <f t="shared" si="56"/>
        <v>3822872.9303731527</v>
      </c>
      <c r="GB11" s="747">
        <f t="shared" si="57"/>
        <v>15.725543999999999</v>
      </c>
      <c r="GF11" s="551">
        <f t="shared" si="88"/>
        <v>8</v>
      </c>
      <c r="GG11" s="670">
        <f t="shared" si="58"/>
        <v>8</v>
      </c>
      <c r="GH11" s="660" t="s">
        <v>397</v>
      </c>
      <c r="GI11" s="724">
        <f t="shared" si="59"/>
        <v>5.7106950000000003</v>
      </c>
      <c r="GJ11" s="724">
        <f t="shared" si="60"/>
        <v>1.7455510000000001</v>
      </c>
      <c r="GK11" s="724">
        <f t="shared" si="61"/>
        <v>3.2981479999999999</v>
      </c>
      <c r="GL11" s="724">
        <f t="shared" si="62"/>
        <v>0.598051</v>
      </c>
      <c r="GM11" s="724">
        <f t="shared" si="63"/>
        <v>0.63319999999999999</v>
      </c>
      <c r="GN11" s="724">
        <f t="shared" si="64"/>
        <v>1.3006150000000001</v>
      </c>
      <c r="GO11" s="724">
        <f t="shared" si="65"/>
        <v>2.4392830000000001</v>
      </c>
      <c r="GP11" s="724">
        <f t="shared" si="66"/>
        <v>15.725543999999999</v>
      </c>
      <c r="GQ11" s="661">
        <f t="shared" si="89"/>
        <v>24309956.258779779</v>
      </c>
      <c r="GR11" s="530"/>
      <c r="GU11" s="222">
        <f t="shared" si="90"/>
        <v>8</v>
      </c>
      <c r="GV11" s="670">
        <f t="shared" si="67"/>
        <v>8</v>
      </c>
      <c r="GW11" s="660" t="s">
        <v>397</v>
      </c>
      <c r="GX11" s="663" t="s">
        <v>379</v>
      </c>
      <c r="GY11" s="671">
        <f t="shared" si="68"/>
        <v>3822872.9303731527</v>
      </c>
      <c r="GZ11" s="661">
        <f t="shared" si="69"/>
        <v>24309956.258779779</v>
      </c>
      <c r="HA11" s="724">
        <f t="shared" si="91"/>
        <v>15.725543999999999</v>
      </c>
      <c r="HB11" s="650">
        <f t="shared" si="70"/>
        <v>3822872.8678551679</v>
      </c>
      <c r="HC11" s="750">
        <f t="shared" si="71"/>
        <v>-6.25179847702384E-2</v>
      </c>
      <c r="HD11" s="549"/>
      <c r="HG11" s="549"/>
      <c r="HH11" s="549"/>
      <c r="HI11" s="549"/>
      <c r="HJ11" s="549"/>
      <c r="HK11" s="549"/>
      <c r="HL11" s="549"/>
      <c r="HM11" s="549"/>
      <c r="HP11" s="551">
        <f t="shared" si="122"/>
        <v>8</v>
      </c>
      <c r="HQ11" s="762">
        <f t="shared" si="72"/>
        <v>8</v>
      </c>
      <c r="HR11" s="660" t="s">
        <v>397</v>
      </c>
      <c r="HS11" s="661">
        <f t="shared" si="92"/>
        <v>24309956.258779779</v>
      </c>
      <c r="HT11" s="757">
        <f t="shared" si="93"/>
        <v>15.725543999999999</v>
      </c>
      <c r="HU11" s="757">
        <v>13.854915</v>
      </c>
      <c r="HV11" s="651">
        <f t="shared" si="94"/>
        <v>0.13501555224265172</v>
      </c>
      <c r="HW11" s="757">
        <f t="shared" si="95"/>
        <v>1.8706289999999992</v>
      </c>
      <c r="HX11" s="652">
        <v>25</v>
      </c>
      <c r="IO11" s="551">
        <v>8</v>
      </c>
      <c r="IP11" s="762">
        <v>8</v>
      </c>
      <c r="IQ11" s="660" t="s">
        <v>397</v>
      </c>
      <c r="IR11" s="772">
        <f t="shared" si="96"/>
        <v>3822872.9303731527</v>
      </c>
      <c r="IS11" s="773">
        <f t="shared" si="96"/>
        <v>24309956.258779779</v>
      </c>
      <c r="IT11" s="774">
        <f t="shared" si="96"/>
        <v>15.725543999999999</v>
      </c>
      <c r="IU11" s="661">
        <f t="shared" si="97"/>
        <v>3569335.279282819</v>
      </c>
      <c r="IV11" s="661">
        <f t="shared" si="98"/>
        <v>20740620.97949696</v>
      </c>
      <c r="IW11" s="772">
        <f t="shared" si="99"/>
        <v>53540.029189242283</v>
      </c>
      <c r="IX11" s="772">
        <f t="shared" si="100"/>
        <v>3769332.9011839107</v>
      </c>
      <c r="IY11" s="455">
        <f t="shared" si="101"/>
        <v>15.505305155876531</v>
      </c>
      <c r="IZ11" s="555">
        <f t="shared" si="102"/>
        <v>17.005305155876531</v>
      </c>
      <c r="JA11" s="772">
        <f t="shared" si="103"/>
        <v>3822872.9303731527</v>
      </c>
      <c r="JB11" s="778">
        <f t="shared" si="104"/>
        <v>0.22023884412346817</v>
      </c>
      <c r="JF11" s="551">
        <f t="shared" si="123"/>
        <v>8</v>
      </c>
      <c r="JG11" s="762">
        <f t="shared" si="73"/>
        <v>8</v>
      </c>
      <c r="JH11" s="660" t="s">
        <v>397</v>
      </c>
      <c r="JI11" s="661">
        <f t="shared" si="105"/>
        <v>24309956.258779779</v>
      </c>
      <c r="JJ11" s="757">
        <f t="shared" si="106"/>
        <v>15.505305155876531</v>
      </c>
      <c r="JK11" s="757">
        <v>13.632681649993463</v>
      </c>
      <c r="JL11" s="651">
        <f t="shared" si="126"/>
        <v>0.13736281341858847</v>
      </c>
      <c r="JM11" s="757">
        <f t="shared" si="108"/>
        <v>1.8726235058830678</v>
      </c>
      <c r="JN11" s="652">
        <v>25</v>
      </c>
      <c r="JS11" s="757">
        <v>15.521286813601382</v>
      </c>
      <c r="JT11" s="757">
        <f t="shared" si="109"/>
        <v>-1.5981657724850606E-2</v>
      </c>
      <c r="JU11" s="1010">
        <v>24199719</v>
      </c>
      <c r="JV11" s="1010">
        <f t="shared" si="110"/>
        <v>-110237.25877977908</v>
      </c>
      <c r="JW11" s="978">
        <f t="shared" si="124"/>
        <v>-1.0296606149205231E-3</v>
      </c>
      <c r="JX11" s="997">
        <v>3756107.7940755878</v>
      </c>
      <c r="JY11" s="997">
        <f t="shared" si="111"/>
        <v>3769332.9011839102</v>
      </c>
      <c r="JZ11" s="516"/>
      <c r="KA11" s="516"/>
      <c r="KB11" s="516"/>
      <c r="KC11" s="516"/>
      <c r="KE11" s="516"/>
      <c r="KF11" s="516"/>
    </row>
    <row r="12" spans="1:292" ht="16.5" x14ac:dyDescent="0.3">
      <c r="A12" s="543">
        <v>9</v>
      </c>
      <c r="B12" s="645" t="s">
        <v>383</v>
      </c>
      <c r="C12" s="646">
        <f>-'ABDA 8 month Phase I'!MC10</f>
        <v>-334591.19444007974</v>
      </c>
      <c r="D12" s="647">
        <f t="shared" si="0"/>
        <v>-2.5884994718444331E-3</v>
      </c>
      <c r="E12" s="986">
        <v>-1.5283646938919929E-2</v>
      </c>
      <c r="I12" s="543">
        <f t="shared" si="112"/>
        <v>9</v>
      </c>
      <c r="J12" s="654">
        <f t="shared" si="1"/>
        <v>9</v>
      </c>
      <c r="K12" s="655" t="s">
        <v>398</v>
      </c>
      <c r="L12" s="991">
        <v>119250551.964803</v>
      </c>
      <c r="M12" s="657">
        <f t="shared" si="2"/>
        <v>5.4573591962146818E-2</v>
      </c>
      <c r="N12" s="656">
        <v>855</v>
      </c>
      <c r="O12" s="656">
        <f t="shared" si="74"/>
        <v>139474.32978339531</v>
      </c>
      <c r="P12" s="657">
        <f t="shared" si="3"/>
        <v>7.8526749061500922E-2</v>
      </c>
      <c r="Q12" s="658" t="s">
        <v>379</v>
      </c>
      <c r="U12" s="545">
        <f t="shared" si="113"/>
        <v>9</v>
      </c>
      <c r="V12" s="669">
        <f t="shared" si="4"/>
        <v>9</v>
      </c>
      <c r="W12" s="655" t="s">
        <v>398</v>
      </c>
      <c r="X12" s="646">
        <f t="shared" si="75"/>
        <v>8399172.6849397868</v>
      </c>
      <c r="Y12" s="657">
        <f t="shared" si="5"/>
        <v>8.7012125416561906E-2</v>
      </c>
      <c r="AC12" s="545">
        <f t="shared" si="114"/>
        <v>9</v>
      </c>
      <c r="AD12" s="678">
        <v>9</v>
      </c>
      <c r="AE12" s="679" t="s">
        <v>398</v>
      </c>
      <c r="AF12" s="680">
        <v>5.86</v>
      </c>
      <c r="AP12" s="545">
        <f t="shared" si="77"/>
        <v>9</v>
      </c>
      <c r="AQ12" s="693">
        <f t="shared" si="6"/>
        <v>9</v>
      </c>
      <c r="AR12" s="655" t="s">
        <v>398</v>
      </c>
      <c r="AS12" s="655">
        <f t="shared" si="7"/>
        <v>5.86</v>
      </c>
      <c r="AT12" s="694">
        <f t="shared" si="78"/>
        <v>119250551.964803</v>
      </c>
      <c r="AU12" s="694">
        <f t="shared" si="115"/>
        <v>194113.39847604043</v>
      </c>
      <c r="AV12" s="695">
        <f>AU12*$AL$5/$AU$28</f>
        <v>200453.19519793871</v>
      </c>
      <c r="AW12" s="696">
        <f t="shared" si="9"/>
        <v>21.592508896755891</v>
      </c>
      <c r="AX12" s="646">
        <f t="shared" si="125"/>
        <v>4328287.4006946366</v>
      </c>
      <c r="AY12" s="544">
        <f t="shared" si="79"/>
        <v>0.10331787297220635</v>
      </c>
      <c r="AZ12" s="548">
        <f t="shared" si="10"/>
        <v>3.6295739999999999</v>
      </c>
      <c r="BK12" s="543">
        <f t="shared" si="116"/>
        <v>9</v>
      </c>
      <c r="BL12" s="658">
        <f t="shared" si="11"/>
        <v>9</v>
      </c>
      <c r="BM12" s="655" t="s">
        <v>398</v>
      </c>
      <c r="BN12" s="657">
        <f t="shared" si="80"/>
        <v>0.10331787297220635</v>
      </c>
      <c r="BO12" s="646">
        <f t="shared" si="81"/>
        <v>990478.7843967774</v>
      </c>
      <c r="BP12" s="657">
        <f t="shared" si="82"/>
        <v>5.4573591962146818E-2</v>
      </c>
      <c r="BQ12" s="646">
        <f t="shared" si="83"/>
        <v>523181.3574150335</v>
      </c>
      <c r="BR12" s="708">
        <f t="shared" si="12"/>
        <v>1513660.1418118109</v>
      </c>
      <c r="BS12" s="709">
        <f t="shared" si="13"/>
        <v>1.2693110000000001</v>
      </c>
      <c r="BV12" s="15"/>
      <c r="BW12" s="190"/>
      <c r="BX12" s="190"/>
      <c r="BY12" s="190"/>
      <c r="BZ12" s="190"/>
      <c r="CA12" s="190"/>
      <c r="CB12" s="190"/>
      <c r="CC12" s="190"/>
      <c r="CD12" s="190"/>
      <c r="CH12" s="543">
        <f t="shared" si="117"/>
        <v>9</v>
      </c>
      <c r="CI12" s="678">
        <f t="shared" si="15"/>
        <v>9</v>
      </c>
      <c r="CJ12" s="655" t="s">
        <v>398</v>
      </c>
      <c r="CK12" s="657">
        <f t="shared" si="16"/>
        <v>5.4573591962146818E-2</v>
      </c>
      <c r="CL12" s="646">
        <f t="shared" si="17"/>
        <v>319896.1401983336</v>
      </c>
      <c r="CM12" s="657">
        <f t="shared" si="18"/>
        <v>7.8526749061500922E-2</v>
      </c>
      <c r="CN12" s="646">
        <f t="shared" si="19"/>
        <v>1508654.1716128653</v>
      </c>
      <c r="CO12" s="646">
        <f t="shared" si="20"/>
        <v>1828550.3118111989</v>
      </c>
      <c r="CP12" s="657">
        <f t="shared" si="21"/>
        <v>7.2926974950778475E-2</v>
      </c>
      <c r="CQ12" s="709">
        <f t="shared" si="22"/>
        <v>1.5333680000000001</v>
      </c>
      <c r="DD12" s="15"/>
      <c r="DG12" s="545">
        <f t="shared" si="118"/>
        <v>9</v>
      </c>
      <c r="DH12" s="739">
        <f t="shared" si="24"/>
        <v>9</v>
      </c>
      <c r="DI12" s="655" t="s">
        <v>398</v>
      </c>
      <c r="DJ12" s="657">
        <f t="shared" si="25"/>
        <v>7.2926974950778475E-2</v>
      </c>
      <c r="DK12" s="646">
        <f t="shared" si="84"/>
        <v>27471.207472550428</v>
      </c>
      <c r="DL12" s="657">
        <f t="shared" si="26"/>
        <v>7.8526749061500922E-2</v>
      </c>
      <c r="DM12" s="646">
        <f t="shared" si="27"/>
        <v>192244.12281097969</v>
      </c>
      <c r="DN12" s="657">
        <f t="shared" si="28"/>
        <v>5.4573591962146818E-2</v>
      </c>
      <c r="DO12" s="646">
        <f t="shared" si="29"/>
        <v>193674.25660533289</v>
      </c>
      <c r="DP12" s="646">
        <f t="shared" si="85"/>
        <v>413389.58688886301</v>
      </c>
      <c r="DQ12" s="657">
        <f t="shared" si="30"/>
        <v>6.4858709908049109E-2</v>
      </c>
      <c r="DR12" s="709">
        <f t="shared" si="31"/>
        <v>0.34665600000000002</v>
      </c>
      <c r="DV12" s="545">
        <f t="shared" si="119"/>
        <v>9</v>
      </c>
      <c r="DW12" s="739">
        <f t="shared" si="32"/>
        <v>9</v>
      </c>
      <c r="DX12" s="655" t="s">
        <v>398</v>
      </c>
      <c r="DY12" s="657">
        <f t="shared" si="33"/>
        <v>7.8526749061500922E-2</v>
      </c>
      <c r="DZ12" s="646">
        <f t="shared" si="34"/>
        <v>315285.24373327789</v>
      </c>
      <c r="EA12" s="709">
        <f t="shared" si="35"/>
        <v>0.26438899999999999</v>
      </c>
      <c r="EM12" s="545">
        <f t="shared" si="120"/>
        <v>9</v>
      </c>
      <c r="EN12" s="739">
        <f t="shared" si="36"/>
        <v>9</v>
      </c>
      <c r="EO12" s="655" t="s">
        <v>398</v>
      </c>
      <c r="EP12" s="657">
        <f t="shared" si="37"/>
        <v>8.7012125416561906E-2</v>
      </c>
      <c r="EQ12" s="646">
        <f t="shared" si="38"/>
        <v>681115.18385367631</v>
      </c>
      <c r="ER12" s="657">
        <f t="shared" si="39"/>
        <v>7.2926974950778475E-2</v>
      </c>
      <c r="ES12" s="646">
        <f t="shared" si="40"/>
        <v>73688.357074328727</v>
      </c>
      <c r="ET12" s="657">
        <f t="shared" si="41"/>
        <v>5.4573591962146818E-2</v>
      </c>
      <c r="EU12" s="646">
        <f t="shared" si="42"/>
        <v>233433.6628954983</v>
      </c>
      <c r="EV12" s="646">
        <f t="shared" si="43"/>
        <v>988237.20382350334</v>
      </c>
      <c r="EW12" s="657">
        <f t="shared" si="44"/>
        <v>7.5347823819025425E-2</v>
      </c>
      <c r="EX12" s="709">
        <f t="shared" si="45"/>
        <v>0.82870699999999997</v>
      </c>
      <c r="FH12" s="545">
        <f t="shared" si="121"/>
        <v>9</v>
      </c>
      <c r="FI12" s="669">
        <f t="shared" si="46"/>
        <v>9</v>
      </c>
      <c r="FJ12" s="655" t="s">
        <v>398</v>
      </c>
      <c r="FK12" s="657">
        <f t="shared" si="47"/>
        <v>8.7012125416561906E-2</v>
      </c>
      <c r="FL12" s="646">
        <f t="shared" si="48"/>
        <v>1709374.4386838498</v>
      </c>
      <c r="FM12" s="709">
        <f t="shared" si="49"/>
        <v>1.4334309999999999</v>
      </c>
      <c r="FQ12" s="543">
        <v>9</v>
      </c>
      <c r="FR12" s="669">
        <v>9</v>
      </c>
      <c r="FS12" s="655" t="s">
        <v>398</v>
      </c>
      <c r="FT12" s="646">
        <f t="shared" si="50"/>
        <v>4328287.4006946366</v>
      </c>
      <c r="FU12" s="646">
        <f t="shared" si="51"/>
        <v>1513660.1418118109</v>
      </c>
      <c r="FV12" s="646">
        <f t="shared" si="52"/>
        <v>1828550.3118111989</v>
      </c>
      <c r="FW12" s="646">
        <f t="shared" si="87"/>
        <v>413389.58688886301</v>
      </c>
      <c r="FX12" s="646">
        <f t="shared" si="53"/>
        <v>315285.24373327789</v>
      </c>
      <c r="FY12" s="646">
        <f t="shared" si="54"/>
        <v>988237.20382350334</v>
      </c>
      <c r="FZ12" s="646">
        <f t="shared" si="55"/>
        <v>1709374.4386838498</v>
      </c>
      <c r="GA12" s="646">
        <f t="shared" si="56"/>
        <v>11096784.327447139</v>
      </c>
      <c r="GB12" s="746">
        <f t="shared" si="57"/>
        <v>9.3054360000000003</v>
      </c>
      <c r="GF12" s="545">
        <f t="shared" si="88"/>
        <v>9</v>
      </c>
      <c r="GG12" s="669">
        <f t="shared" si="58"/>
        <v>9</v>
      </c>
      <c r="GH12" s="655" t="s">
        <v>398</v>
      </c>
      <c r="GI12" s="709">
        <f t="shared" si="59"/>
        <v>3.6295739999999999</v>
      </c>
      <c r="GJ12" s="709">
        <f t="shared" si="60"/>
        <v>1.2693110000000001</v>
      </c>
      <c r="GK12" s="709">
        <f t="shared" si="61"/>
        <v>1.5333680000000001</v>
      </c>
      <c r="GL12" s="709">
        <f t="shared" si="62"/>
        <v>0.34665600000000002</v>
      </c>
      <c r="GM12" s="709">
        <f t="shared" si="63"/>
        <v>0.26438899999999999</v>
      </c>
      <c r="GN12" s="709">
        <f t="shared" si="64"/>
        <v>0.82870699999999997</v>
      </c>
      <c r="GO12" s="709">
        <f t="shared" si="65"/>
        <v>1.4334309999999999</v>
      </c>
      <c r="GP12" s="709">
        <f t="shared" si="66"/>
        <v>9.3054360000000003</v>
      </c>
      <c r="GQ12" s="656">
        <f t="shared" si="89"/>
        <v>119250551.964803</v>
      </c>
      <c r="GR12" s="530"/>
      <c r="GU12" s="543">
        <f t="shared" si="90"/>
        <v>9</v>
      </c>
      <c r="GV12" s="669">
        <f t="shared" si="67"/>
        <v>9</v>
      </c>
      <c r="GW12" s="655" t="s">
        <v>398</v>
      </c>
      <c r="GX12" s="658" t="s">
        <v>379</v>
      </c>
      <c r="GY12" s="646">
        <f t="shared" si="68"/>
        <v>11096784.327447139</v>
      </c>
      <c r="GZ12" s="656">
        <f t="shared" si="69"/>
        <v>119250551.964803</v>
      </c>
      <c r="HA12" s="709">
        <f t="shared" si="91"/>
        <v>9.3054360000000003</v>
      </c>
      <c r="HB12" s="646">
        <f t="shared" si="70"/>
        <v>11096783.792731486</v>
      </c>
      <c r="HC12" s="749">
        <f t="shared" si="71"/>
        <v>-0.53471565246582031</v>
      </c>
      <c r="HD12" s="549"/>
      <c r="HG12" s="549"/>
      <c r="HH12" s="549"/>
      <c r="HI12" s="549"/>
      <c r="HJ12" s="549"/>
      <c r="HK12" s="549"/>
      <c r="HL12" s="549"/>
      <c r="HM12" s="549"/>
      <c r="HP12" s="545">
        <f t="shared" si="122"/>
        <v>9</v>
      </c>
      <c r="HQ12" s="761">
        <f t="shared" si="72"/>
        <v>9</v>
      </c>
      <c r="HR12" s="655" t="s">
        <v>398</v>
      </c>
      <c r="HS12" s="656">
        <f t="shared" si="92"/>
        <v>119250551.964803</v>
      </c>
      <c r="HT12" s="756">
        <f t="shared" si="93"/>
        <v>9.3054360000000003</v>
      </c>
      <c r="HU12" s="756">
        <v>8.1251270000000009</v>
      </c>
      <c r="HV12" s="647">
        <f t="shared" si="94"/>
        <v>0.14526652937240225</v>
      </c>
      <c r="HW12" s="756">
        <f t="shared" si="95"/>
        <v>1.1803089999999994</v>
      </c>
      <c r="HX12" s="648">
        <v>10</v>
      </c>
      <c r="IO12" s="545">
        <v>9</v>
      </c>
      <c r="IP12" s="761">
        <v>9</v>
      </c>
      <c r="IQ12" s="655" t="s">
        <v>398</v>
      </c>
      <c r="IR12" s="769">
        <f t="shared" si="96"/>
        <v>11096784.327447139</v>
      </c>
      <c r="IS12" s="770">
        <f t="shared" si="96"/>
        <v>119250551.964803</v>
      </c>
      <c r="IT12" s="771">
        <f t="shared" si="96"/>
        <v>9.3054360000000003</v>
      </c>
      <c r="IU12" s="656">
        <f t="shared" si="97"/>
        <v>17509089.595675208</v>
      </c>
      <c r="IV12" s="656">
        <f t="shared" si="98"/>
        <v>101741462.36912778</v>
      </c>
      <c r="IW12" s="769">
        <f t="shared" si="99"/>
        <v>262636.34393512813</v>
      </c>
      <c r="IX12" s="769">
        <f t="shared" si="100"/>
        <v>10834147.98351201</v>
      </c>
      <c r="IY12" s="550">
        <f t="shared" si="101"/>
        <v>9.0851973471030369</v>
      </c>
      <c r="IZ12" s="550">
        <f t="shared" si="102"/>
        <v>10.585197347103037</v>
      </c>
      <c r="JA12" s="769">
        <f t="shared" si="103"/>
        <v>11096784.327447139</v>
      </c>
      <c r="JB12" s="746">
        <f t="shared" si="104"/>
        <v>0.22023865289696332</v>
      </c>
      <c r="JF12" s="545">
        <f t="shared" si="123"/>
        <v>9</v>
      </c>
      <c r="JG12" s="761">
        <f t="shared" si="73"/>
        <v>9</v>
      </c>
      <c r="JH12" s="655" t="s">
        <v>398</v>
      </c>
      <c r="JI12" s="656">
        <f t="shared" si="105"/>
        <v>119250551.964803</v>
      </c>
      <c r="JJ12" s="756">
        <f t="shared" si="106"/>
        <v>9.0851973471030369</v>
      </c>
      <c r="JK12" s="756">
        <v>7.902894267014676</v>
      </c>
      <c r="JL12" s="647">
        <f t="shared" si="126"/>
        <v>0.14960380844560839</v>
      </c>
      <c r="JM12" s="756">
        <f t="shared" si="108"/>
        <v>1.1823030800883609</v>
      </c>
      <c r="JN12" s="648">
        <v>10</v>
      </c>
      <c r="JS12" s="756">
        <v>9.0929707915554143</v>
      </c>
      <c r="JT12" s="756">
        <f t="shared" si="109"/>
        <v>-7.773444452377376E-3</v>
      </c>
      <c r="JU12" s="1009">
        <v>119687775</v>
      </c>
      <c r="JV12" s="1009">
        <f t="shared" si="110"/>
        <v>437223.03519700468</v>
      </c>
      <c r="JW12" s="978">
        <f t="shared" si="124"/>
        <v>-8.548850128933138E-4</v>
      </c>
      <c r="JX12" s="997">
        <v>10883174.421812562</v>
      </c>
      <c r="JY12" s="997">
        <f t="shared" si="111"/>
        <v>10834147.98351201</v>
      </c>
      <c r="JZ12" s="516"/>
      <c r="KA12" s="516"/>
      <c r="KB12" s="516"/>
      <c r="KC12" s="516"/>
      <c r="KE12" s="516"/>
      <c r="KF12" s="516"/>
    </row>
    <row r="13" spans="1:292" ht="20.25" customHeight="1" x14ac:dyDescent="0.3">
      <c r="A13" s="579">
        <v>10</v>
      </c>
      <c r="B13" s="786" t="s">
        <v>283</v>
      </c>
      <c r="C13" s="787">
        <f>SUM(C4:C12)</f>
        <v>129260677.11409155</v>
      </c>
      <c r="D13" s="788">
        <f>SUM(D4:D12)</f>
        <v>0.99999999999999989</v>
      </c>
      <c r="E13" s="789">
        <f>SUM(E4:E12)</f>
        <v>5.9055510012352554</v>
      </c>
      <c r="I13" s="222">
        <f t="shared" si="112"/>
        <v>10</v>
      </c>
      <c r="J13" s="659">
        <f t="shared" si="1"/>
        <v>10</v>
      </c>
      <c r="K13" s="660" t="s">
        <v>399</v>
      </c>
      <c r="L13" s="991">
        <v>4796737.4631210761</v>
      </c>
      <c r="M13" s="662">
        <f t="shared" si="2"/>
        <v>2.1951696553922555E-3</v>
      </c>
      <c r="N13" s="661">
        <v>351</v>
      </c>
      <c r="O13" s="661">
        <f t="shared" si="74"/>
        <v>13665.918698350644</v>
      </c>
      <c r="P13" s="662">
        <f t="shared" si="3"/>
        <v>7.6941769140375085E-3</v>
      </c>
      <c r="Q13" s="663" t="s">
        <v>379</v>
      </c>
      <c r="U13" s="551">
        <f t="shared" si="113"/>
        <v>10</v>
      </c>
      <c r="V13" s="670">
        <f t="shared" si="4"/>
        <v>10</v>
      </c>
      <c r="W13" s="660" t="s">
        <v>399</v>
      </c>
      <c r="X13" s="671">
        <f t="shared" si="75"/>
        <v>674660.96264802164</v>
      </c>
      <c r="Y13" s="662">
        <f t="shared" si="5"/>
        <v>6.9892222124266152E-3</v>
      </c>
      <c r="AC13" s="551">
        <f t="shared" si="114"/>
        <v>10</v>
      </c>
      <c r="AD13" s="681">
        <v>10</v>
      </c>
      <c r="AE13" s="682" t="s">
        <v>399</v>
      </c>
      <c r="AF13" s="683">
        <v>11.86</v>
      </c>
      <c r="AP13" s="551">
        <f t="shared" si="77"/>
        <v>10</v>
      </c>
      <c r="AQ13" s="697">
        <f t="shared" si="6"/>
        <v>10</v>
      </c>
      <c r="AR13" s="660" t="s">
        <v>399</v>
      </c>
      <c r="AS13" s="660">
        <f t="shared" si="7"/>
        <v>11.86</v>
      </c>
      <c r="AT13" s="698">
        <f t="shared" si="78"/>
        <v>4796737.4631210761</v>
      </c>
      <c r="AU13" s="698">
        <f t="shared" si="115"/>
        <v>15802.585086837767</v>
      </c>
      <c r="AV13" s="699">
        <f t="shared" si="8"/>
        <v>16318.701840846474</v>
      </c>
      <c r="AW13" s="700">
        <f t="shared" si="9"/>
        <v>21.592508896755891</v>
      </c>
      <c r="AX13" s="671">
        <f t="shared" si="125"/>
        <v>352361.71468198422</v>
      </c>
      <c r="AY13" s="465">
        <f t="shared" si="79"/>
        <v>8.4110086756113908E-3</v>
      </c>
      <c r="AZ13" s="553">
        <f t="shared" si="10"/>
        <v>7.3458620000000003</v>
      </c>
      <c r="BK13" s="222">
        <f t="shared" si="116"/>
        <v>10</v>
      </c>
      <c r="BL13" s="663">
        <f t="shared" si="11"/>
        <v>10</v>
      </c>
      <c r="BM13" s="660" t="s">
        <v>399</v>
      </c>
      <c r="BN13" s="662">
        <f t="shared" si="80"/>
        <v>8.4110086756113908E-3</v>
      </c>
      <c r="BO13" s="671">
        <f t="shared" si="81"/>
        <v>80633.925272652777</v>
      </c>
      <c r="BP13" s="662">
        <f t="shared" si="82"/>
        <v>2.1951696553922555E-3</v>
      </c>
      <c r="BQ13" s="671">
        <f t="shared" si="83"/>
        <v>21044.461226979736</v>
      </c>
      <c r="BR13" s="710">
        <f t="shared" si="12"/>
        <v>101678.38649963251</v>
      </c>
      <c r="BS13" s="711">
        <f t="shared" si="13"/>
        <v>2.1197400000000002</v>
      </c>
      <c r="BV13" s="15"/>
      <c r="BW13" s="190"/>
      <c r="BX13" s="190"/>
      <c r="BY13" s="190"/>
      <c r="BZ13" s="190"/>
      <c r="CA13" s="190"/>
      <c r="CB13" s="190"/>
      <c r="CC13" s="190"/>
      <c r="CD13" s="190"/>
      <c r="CH13" s="222">
        <f t="shared" si="117"/>
        <v>10</v>
      </c>
      <c r="CI13" s="681">
        <f t="shared" si="15"/>
        <v>10</v>
      </c>
      <c r="CJ13" s="660" t="s">
        <v>399</v>
      </c>
      <c r="CK13" s="723">
        <f t="shared" si="16"/>
        <v>2.1951696553922555E-3</v>
      </c>
      <c r="CL13" s="650">
        <f t="shared" si="17"/>
        <v>12867.511090850769</v>
      </c>
      <c r="CM13" s="723">
        <f t="shared" si="18"/>
        <v>7.6941769140375085E-3</v>
      </c>
      <c r="CN13" s="650">
        <f t="shared" si="19"/>
        <v>147820.35723138115</v>
      </c>
      <c r="CO13" s="650">
        <f t="shared" si="20"/>
        <v>160687.86832223192</v>
      </c>
      <c r="CP13" s="723">
        <f t="shared" si="21"/>
        <v>6.4086178391351547E-3</v>
      </c>
      <c r="CQ13" s="724">
        <f t="shared" si="22"/>
        <v>3.3499409999999998</v>
      </c>
      <c r="DC13" s="198"/>
      <c r="DD13" s="15"/>
      <c r="DG13" s="551">
        <f t="shared" si="118"/>
        <v>10</v>
      </c>
      <c r="DH13" s="677">
        <f t="shared" si="24"/>
        <v>10</v>
      </c>
      <c r="DI13" s="660" t="s">
        <v>399</v>
      </c>
      <c r="DJ13" s="723">
        <f t="shared" si="25"/>
        <v>6.4086178391351547E-3</v>
      </c>
      <c r="DK13" s="650">
        <f t="shared" si="84"/>
        <v>2414.0925959152282</v>
      </c>
      <c r="DL13" s="723">
        <f t="shared" si="26"/>
        <v>7.6941769140375085E-3</v>
      </c>
      <c r="DM13" s="650">
        <f t="shared" si="27"/>
        <v>18836.387718447077</v>
      </c>
      <c r="DN13" s="723">
        <f t="shared" si="28"/>
        <v>2.1951696553922555E-3</v>
      </c>
      <c r="DO13" s="650">
        <f t="shared" si="29"/>
        <v>7790.3585936870304</v>
      </c>
      <c r="DP13" s="650">
        <f t="shared" si="85"/>
        <v>29040.838908049336</v>
      </c>
      <c r="DQ13" s="723">
        <f t="shared" si="30"/>
        <v>4.5563589552388446E-3</v>
      </c>
      <c r="DR13" s="724">
        <f t="shared" si="31"/>
        <v>0.60542899999999999</v>
      </c>
      <c r="DV13" s="551">
        <f t="shared" si="119"/>
        <v>10</v>
      </c>
      <c r="DW13" s="677">
        <f t="shared" si="32"/>
        <v>10</v>
      </c>
      <c r="DX13" s="660" t="s">
        <v>399</v>
      </c>
      <c r="DY13" s="723">
        <f t="shared" si="33"/>
        <v>7.6941769140375085E-3</v>
      </c>
      <c r="DZ13" s="650">
        <f t="shared" si="34"/>
        <v>30892.154236123792</v>
      </c>
      <c r="EA13" s="724">
        <f t="shared" si="35"/>
        <v>0.64402400000000004</v>
      </c>
      <c r="EM13" s="551">
        <f t="shared" si="120"/>
        <v>10</v>
      </c>
      <c r="EN13" s="677">
        <f t="shared" si="36"/>
        <v>10</v>
      </c>
      <c r="EO13" s="660" t="s">
        <v>399</v>
      </c>
      <c r="EP13" s="723">
        <f t="shared" si="37"/>
        <v>6.9892222124266152E-3</v>
      </c>
      <c r="EQ13" s="650">
        <f t="shared" si="38"/>
        <v>54710.367657621253</v>
      </c>
      <c r="ER13" s="723">
        <f t="shared" si="39"/>
        <v>6.4086178391351547E-3</v>
      </c>
      <c r="ES13" s="650">
        <f t="shared" si="40"/>
        <v>6475.5259628119702</v>
      </c>
      <c r="ET13" s="723">
        <f t="shared" si="41"/>
        <v>2.1951696553922555E-3</v>
      </c>
      <c r="EU13" s="650">
        <f t="shared" si="42"/>
        <v>9389.642039517772</v>
      </c>
      <c r="EV13" s="650">
        <f t="shared" si="43"/>
        <v>70575.535659950998</v>
      </c>
      <c r="EW13" s="723">
        <f t="shared" si="44"/>
        <v>5.3810087358227652E-3</v>
      </c>
      <c r="EX13" s="724">
        <f t="shared" si="45"/>
        <v>1.4713240000000001</v>
      </c>
      <c r="FH13" s="551">
        <f t="shared" si="121"/>
        <v>10</v>
      </c>
      <c r="FI13" s="670">
        <f t="shared" si="46"/>
        <v>10</v>
      </c>
      <c r="FJ13" s="660" t="s">
        <v>399</v>
      </c>
      <c r="FK13" s="723">
        <f t="shared" si="47"/>
        <v>6.9892222124266152E-3</v>
      </c>
      <c r="FL13" s="650">
        <f t="shared" si="48"/>
        <v>137304.97604796363</v>
      </c>
      <c r="FM13" s="724">
        <f t="shared" si="49"/>
        <v>2.862466</v>
      </c>
      <c r="FQ13" s="222">
        <f t="shared" si="86"/>
        <v>10</v>
      </c>
      <c r="FR13" s="670">
        <v>10</v>
      </c>
      <c r="FS13" s="660" t="s">
        <v>399</v>
      </c>
      <c r="FT13" s="650">
        <f t="shared" si="50"/>
        <v>352361.71468198422</v>
      </c>
      <c r="FU13" s="650">
        <f t="shared" si="51"/>
        <v>101678.38649963251</v>
      </c>
      <c r="FV13" s="650">
        <f t="shared" si="52"/>
        <v>160687.86832223192</v>
      </c>
      <c r="FW13" s="650">
        <f t="shared" si="87"/>
        <v>29040.838908049336</v>
      </c>
      <c r="FX13" s="650">
        <f t="shared" si="53"/>
        <v>30892.154236123792</v>
      </c>
      <c r="FY13" s="650">
        <f t="shared" si="54"/>
        <v>70575.535659950998</v>
      </c>
      <c r="FZ13" s="650">
        <f t="shared" si="55"/>
        <v>137304.97604796363</v>
      </c>
      <c r="GA13" s="650">
        <f t="shared" si="56"/>
        <v>882541.47435593628</v>
      </c>
      <c r="GB13" s="747">
        <f t="shared" si="57"/>
        <v>18.398786000000001</v>
      </c>
      <c r="GF13" s="551">
        <f t="shared" si="88"/>
        <v>10</v>
      </c>
      <c r="GG13" s="670">
        <f t="shared" si="58"/>
        <v>10</v>
      </c>
      <c r="GH13" s="660" t="s">
        <v>399</v>
      </c>
      <c r="GI13" s="724">
        <f t="shared" si="59"/>
        <v>7.3458620000000003</v>
      </c>
      <c r="GJ13" s="724">
        <f t="shared" si="60"/>
        <v>2.1197400000000002</v>
      </c>
      <c r="GK13" s="724">
        <f t="shared" si="61"/>
        <v>3.3499409999999998</v>
      </c>
      <c r="GL13" s="724">
        <f t="shared" si="62"/>
        <v>0.60542899999999999</v>
      </c>
      <c r="GM13" s="724">
        <f t="shared" si="63"/>
        <v>0.64402400000000004</v>
      </c>
      <c r="GN13" s="724">
        <f t="shared" si="64"/>
        <v>1.4713240000000001</v>
      </c>
      <c r="GO13" s="724">
        <f t="shared" si="65"/>
        <v>2.862466</v>
      </c>
      <c r="GP13" s="724">
        <f t="shared" si="66"/>
        <v>18.398786000000001</v>
      </c>
      <c r="GQ13" s="661">
        <f t="shared" si="89"/>
        <v>4796737.4631210761</v>
      </c>
      <c r="GR13" s="530"/>
      <c r="GU13" s="222">
        <f t="shared" si="90"/>
        <v>10</v>
      </c>
      <c r="GV13" s="670">
        <f t="shared" si="67"/>
        <v>10</v>
      </c>
      <c r="GW13" s="660" t="s">
        <v>399</v>
      </c>
      <c r="GX13" s="663" t="s">
        <v>379</v>
      </c>
      <c r="GY13" s="671">
        <f t="shared" si="68"/>
        <v>882541.47435593628</v>
      </c>
      <c r="GZ13" s="661">
        <f t="shared" si="69"/>
        <v>4796737.4631210761</v>
      </c>
      <c r="HA13" s="724">
        <f t="shared" si="91"/>
        <v>18.398786000000001</v>
      </c>
      <c r="HB13" s="650">
        <f t="shared" si="70"/>
        <v>882541.46082147583</v>
      </c>
      <c r="HC13" s="750">
        <f t="shared" si="71"/>
        <v>-1.3534460449591279E-2</v>
      </c>
      <c r="HD13" s="549"/>
      <c r="HG13" s="549"/>
      <c r="HH13" s="549"/>
      <c r="HI13" s="549"/>
      <c r="HJ13" s="549"/>
      <c r="HK13" s="549"/>
      <c r="HL13" s="549"/>
      <c r="HM13" s="549"/>
      <c r="HP13" s="551">
        <f t="shared" si="122"/>
        <v>10</v>
      </c>
      <c r="HQ13" s="762">
        <f t="shared" si="72"/>
        <v>10</v>
      </c>
      <c r="HR13" s="660" t="s">
        <v>399</v>
      </c>
      <c r="HS13" s="661">
        <f t="shared" si="92"/>
        <v>4796737.4631210761</v>
      </c>
      <c r="HT13" s="757">
        <f t="shared" si="93"/>
        <v>18.398786000000001</v>
      </c>
      <c r="HU13" s="757">
        <v>16.197026000000001</v>
      </c>
      <c r="HV13" s="651">
        <f t="shared" si="94"/>
        <v>0.1359360662877247</v>
      </c>
      <c r="HW13" s="757">
        <f t="shared" si="95"/>
        <v>2.2017600000000002</v>
      </c>
      <c r="HX13" s="652">
        <v>25</v>
      </c>
      <c r="IO13" s="551">
        <v>10</v>
      </c>
      <c r="IP13" s="762">
        <v>10</v>
      </c>
      <c r="IQ13" s="660" t="s">
        <v>399</v>
      </c>
      <c r="IR13" s="772">
        <f t="shared" si="96"/>
        <v>882541.47435593628</v>
      </c>
      <c r="IS13" s="773">
        <f t="shared" si="96"/>
        <v>4796737.4631210761</v>
      </c>
      <c r="IT13" s="774">
        <f t="shared" si="96"/>
        <v>18.398786000000001</v>
      </c>
      <c r="IU13" s="661">
        <f t="shared" si="97"/>
        <v>704286.09867992473</v>
      </c>
      <c r="IV13" s="661">
        <f t="shared" si="98"/>
        <v>4092451.3644411513</v>
      </c>
      <c r="IW13" s="772">
        <f t="shared" si="99"/>
        <v>10564.29148019887</v>
      </c>
      <c r="IX13" s="772">
        <f t="shared" si="100"/>
        <v>871977.18287573743</v>
      </c>
      <c r="IY13" s="455">
        <f t="shared" si="101"/>
        <v>18.178547180865952</v>
      </c>
      <c r="IZ13" s="555">
        <f t="shared" si="102"/>
        <v>19.678547180865952</v>
      </c>
      <c r="JA13" s="772">
        <f t="shared" si="103"/>
        <v>882541.47435593617</v>
      </c>
      <c r="JB13" s="778">
        <f t="shared" si="104"/>
        <v>0.22023881913404963</v>
      </c>
      <c r="JF13" s="551">
        <f t="shared" si="123"/>
        <v>10</v>
      </c>
      <c r="JG13" s="762">
        <f t="shared" si="73"/>
        <v>10</v>
      </c>
      <c r="JH13" s="660" t="s">
        <v>399</v>
      </c>
      <c r="JI13" s="661">
        <f t="shared" si="105"/>
        <v>4796737.4631210761</v>
      </c>
      <c r="JJ13" s="757">
        <f t="shared" si="106"/>
        <v>18.178547180865952</v>
      </c>
      <c r="JK13" s="757">
        <v>15.97479251749226</v>
      </c>
      <c r="JL13" s="651">
        <f t="shared" si="126"/>
        <v>0.13795200538351904</v>
      </c>
      <c r="JM13" s="757">
        <f t="shared" si="108"/>
        <v>2.203754663373692</v>
      </c>
      <c r="JN13" s="652">
        <v>25</v>
      </c>
      <c r="JS13" s="757">
        <v>18.195653385168942</v>
      </c>
      <c r="JT13" s="757">
        <f t="shared" si="109"/>
        <v>-1.7106204302990591E-2</v>
      </c>
      <c r="JU13" s="1010">
        <v>4853908</v>
      </c>
      <c r="JV13" s="1010">
        <f t="shared" si="110"/>
        <v>57170.536878923886</v>
      </c>
      <c r="JW13" s="978">
        <f t="shared" si="124"/>
        <v>-9.4012586087915105E-4</v>
      </c>
      <c r="JX13" s="997">
        <v>883200.27531498612</v>
      </c>
      <c r="JY13" s="997">
        <f t="shared" si="111"/>
        <v>871977.18287573743</v>
      </c>
      <c r="JZ13" s="516"/>
      <c r="KA13" s="516"/>
      <c r="KB13" s="516"/>
      <c r="KC13" s="516"/>
      <c r="KE13" s="516"/>
      <c r="KF13" s="516"/>
    </row>
    <row r="14" spans="1:292" ht="16.5" x14ac:dyDescent="0.3">
      <c r="C14" s="232"/>
      <c r="I14" s="543">
        <f t="shared" si="112"/>
        <v>11</v>
      </c>
      <c r="J14" s="654">
        <f t="shared" si="1"/>
        <v>11</v>
      </c>
      <c r="K14" s="655" t="s">
        <v>400</v>
      </c>
      <c r="L14" s="991">
        <v>55271284.031788602</v>
      </c>
      <c r="M14" s="657">
        <f t="shared" si="2"/>
        <v>2.5294243525724174E-2</v>
      </c>
      <c r="N14" s="656">
        <v>245</v>
      </c>
      <c r="O14" s="656">
        <f t="shared" si="74"/>
        <v>225597.07768076981</v>
      </c>
      <c r="P14" s="657">
        <f t="shared" si="3"/>
        <v>0.12701552418683709</v>
      </c>
      <c r="Q14" s="658" t="s">
        <v>379</v>
      </c>
      <c r="U14" s="545">
        <f t="shared" si="113"/>
        <v>11</v>
      </c>
      <c r="V14" s="669">
        <f t="shared" si="4"/>
        <v>11</v>
      </c>
      <c r="W14" s="655" t="s">
        <v>400</v>
      </c>
      <c r="X14" s="646">
        <f t="shared" si="75"/>
        <v>7777014.6836757222</v>
      </c>
      <c r="Y14" s="657">
        <f t="shared" si="5"/>
        <v>8.0566813233378193E-2</v>
      </c>
      <c r="AC14" s="545">
        <f t="shared" si="114"/>
        <v>11</v>
      </c>
      <c r="AD14" s="678">
        <v>11</v>
      </c>
      <c r="AE14" s="679" t="s">
        <v>400</v>
      </c>
      <c r="AF14" s="680">
        <v>9.5</v>
      </c>
      <c r="AP14" s="545">
        <f t="shared" si="77"/>
        <v>11</v>
      </c>
      <c r="AQ14" s="693">
        <f t="shared" si="6"/>
        <v>11</v>
      </c>
      <c r="AR14" s="655" t="s">
        <v>400</v>
      </c>
      <c r="AS14" s="655">
        <f t="shared" si="7"/>
        <v>9.5</v>
      </c>
      <c r="AT14" s="694">
        <f t="shared" si="78"/>
        <v>55271284.031788602</v>
      </c>
      <c r="AU14" s="694">
        <f t="shared" si="115"/>
        <v>145854.77730610879</v>
      </c>
      <c r="AV14" s="695">
        <f t="shared" si="8"/>
        <v>150618.43425250245</v>
      </c>
      <c r="AW14" s="696">
        <f t="shared" si="9"/>
        <v>21.592508896755891</v>
      </c>
      <c r="AX14" s="646">
        <f t="shared" si="125"/>
        <v>3252229.8816126017</v>
      </c>
      <c r="AY14" s="544">
        <f t="shared" si="79"/>
        <v>7.7631969108830079E-2</v>
      </c>
      <c r="AZ14" s="548">
        <f t="shared" si="10"/>
        <v>5.8841219999999996</v>
      </c>
      <c r="BK14" s="543">
        <f t="shared" si="116"/>
        <v>11</v>
      </c>
      <c r="BL14" s="658">
        <f t="shared" si="11"/>
        <v>11</v>
      </c>
      <c r="BM14" s="655" t="s">
        <v>400</v>
      </c>
      <c r="BN14" s="657">
        <f t="shared" si="80"/>
        <v>7.7631969108830079E-2</v>
      </c>
      <c r="BO14" s="646">
        <f t="shared" si="81"/>
        <v>744235.39878649276</v>
      </c>
      <c r="BP14" s="657">
        <f t="shared" si="82"/>
        <v>2.5294243525724174E-2</v>
      </c>
      <c r="BQ14" s="646">
        <f t="shared" si="83"/>
        <v>242488.65040354617</v>
      </c>
      <c r="BR14" s="708">
        <f t="shared" si="12"/>
        <v>986724.04919003893</v>
      </c>
      <c r="BS14" s="709">
        <f t="shared" si="13"/>
        <v>1.7852380000000001</v>
      </c>
      <c r="BV14" s="15"/>
      <c r="BW14" s="190"/>
      <c r="BX14" s="190"/>
      <c r="BY14" s="190"/>
      <c r="BZ14" s="190"/>
      <c r="CA14" s="190"/>
      <c r="CB14" s="190"/>
      <c r="CC14" s="190"/>
      <c r="CD14" s="190"/>
      <c r="CH14" s="543">
        <f t="shared" si="117"/>
        <v>11</v>
      </c>
      <c r="CI14" s="678">
        <f t="shared" si="15"/>
        <v>11</v>
      </c>
      <c r="CJ14" s="655" t="s">
        <v>400</v>
      </c>
      <c r="CK14" s="657">
        <f t="shared" si="16"/>
        <v>2.5294243525724174E-2</v>
      </c>
      <c r="CL14" s="646">
        <f t="shared" si="17"/>
        <v>148268.24810667176</v>
      </c>
      <c r="CM14" s="657">
        <f t="shared" si="18"/>
        <v>0.12701552418683709</v>
      </c>
      <c r="CN14" s="646">
        <f t="shared" si="19"/>
        <v>2440219.4502409725</v>
      </c>
      <c r="CO14" s="646">
        <f t="shared" si="20"/>
        <v>2588487.6983476444</v>
      </c>
      <c r="CP14" s="657">
        <f t="shared" si="21"/>
        <v>0.10323510177350144</v>
      </c>
      <c r="CQ14" s="709">
        <f t="shared" si="22"/>
        <v>4.6832409999999998</v>
      </c>
      <c r="DD14" s="15"/>
      <c r="DG14" s="545">
        <f t="shared" si="118"/>
        <v>11</v>
      </c>
      <c r="DH14" s="739">
        <f t="shared" si="24"/>
        <v>11</v>
      </c>
      <c r="DI14" s="655" t="s">
        <v>400</v>
      </c>
      <c r="DJ14" s="657">
        <f t="shared" si="25"/>
        <v>0.10323510177350144</v>
      </c>
      <c r="DK14" s="646">
        <f t="shared" si="84"/>
        <v>38888.119261546897</v>
      </c>
      <c r="DL14" s="657">
        <f t="shared" si="26"/>
        <v>0.12701552418683709</v>
      </c>
      <c r="DM14" s="646">
        <f t="shared" si="27"/>
        <v>310951.21500001848</v>
      </c>
      <c r="DN14" s="657">
        <f t="shared" si="28"/>
        <v>2.5294243525724174E-2</v>
      </c>
      <c r="DO14" s="646">
        <f t="shared" si="29"/>
        <v>89765.830598740984</v>
      </c>
      <c r="DP14" s="646">
        <f t="shared" si="85"/>
        <v>439605.16486030631</v>
      </c>
      <c r="DQ14" s="657">
        <f t="shared" si="30"/>
        <v>6.8971799885757704E-2</v>
      </c>
      <c r="DR14" s="709">
        <f t="shared" si="31"/>
        <v>0.79535900000000004</v>
      </c>
      <c r="DV14" s="545">
        <f t="shared" si="119"/>
        <v>11</v>
      </c>
      <c r="DW14" s="739">
        <f t="shared" si="32"/>
        <v>11</v>
      </c>
      <c r="DX14" s="655" t="s">
        <v>400</v>
      </c>
      <c r="DY14" s="657">
        <f t="shared" si="33"/>
        <v>0.12701552418683709</v>
      </c>
      <c r="DZ14" s="646">
        <f t="shared" si="34"/>
        <v>509967.88966513169</v>
      </c>
      <c r="EA14" s="709">
        <f t="shared" si="35"/>
        <v>0.92266300000000001</v>
      </c>
      <c r="EM14" s="545">
        <f t="shared" si="120"/>
        <v>11</v>
      </c>
      <c r="EN14" s="739">
        <f t="shared" si="36"/>
        <v>11</v>
      </c>
      <c r="EO14" s="655" t="s">
        <v>400</v>
      </c>
      <c r="EP14" s="657">
        <f t="shared" si="37"/>
        <v>8.0566813233378193E-2</v>
      </c>
      <c r="EQ14" s="646">
        <f t="shared" si="38"/>
        <v>630662.4455528151</v>
      </c>
      <c r="ER14" s="657">
        <f t="shared" si="39"/>
        <v>0.10323510177350144</v>
      </c>
      <c r="ES14" s="646">
        <f t="shared" si="40"/>
        <v>104312.91092527669</v>
      </c>
      <c r="ET14" s="657">
        <f t="shared" si="41"/>
        <v>2.5294243525724174E-2</v>
      </c>
      <c r="EU14" s="646">
        <f t="shared" si="42"/>
        <v>108193.86637544436</v>
      </c>
      <c r="EV14" s="646">
        <f t="shared" si="43"/>
        <v>843169.22285353614</v>
      </c>
      <c r="EW14" s="657">
        <f t="shared" si="44"/>
        <v>6.4287162846521709E-2</v>
      </c>
      <c r="EX14" s="709">
        <f t="shared" si="45"/>
        <v>1.5255099999999999</v>
      </c>
      <c r="FH14" s="545">
        <f t="shared" si="121"/>
        <v>11</v>
      </c>
      <c r="FI14" s="669">
        <f t="shared" si="46"/>
        <v>11</v>
      </c>
      <c r="FJ14" s="655" t="s">
        <v>400</v>
      </c>
      <c r="FK14" s="657">
        <f t="shared" si="47"/>
        <v>8.0566813233378193E-2</v>
      </c>
      <c r="FL14" s="646">
        <f t="shared" si="48"/>
        <v>1582754.7078988943</v>
      </c>
      <c r="FM14" s="709">
        <f t="shared" si="49"/>
        <v>2.8636110000000001</v>
      </c>
      <c r="FQ14" s="543">
        <v>11</v>
      </c>
      <c r="FR14" s="669">
        <v>11</v>
      </c>
      <c r="FS14" s="655" t="s">
        <v>400</v>
      </c>
      <c r="FT14" s="646">
        <f t="shared" si="50"/>
        <v>3252229.8816126017</v>
      </c>
      <c r="FU14" s="646">
        <f t="shared" si="51"/>
        <v>986724.04919003893</v>
      </c>
      <c r="FV14" s="646">
        <f t="shared" si="52"/>
        <v>2588487.6983476444</v>
      </c>
      <c r="FW14" s="646">
        <f t="shared" si="87"/>
        <v>439605.16486030631</v>
      </c>
      <c r="FX14" s="646">
        <f t="shared" si="53"/>
        <v>509967.88966513169</v>
      </c>
      <c r="FY14" s="646">
        <f t="shared" si="54"/>
        <v>843169.22285353614</v>
      </c>
      <c r="FZ14" s="646">
        <f t="shared" si="55"/>
        <v>1582754.7078988943</v>
      </c>
      <c r="GA14" s="646">
        <f t="shared" si="56"/>
        <v>10202938.614428153</v>
      </c>
      <c r="GB14" s="746">
        <f t="shared" si="57"/>
        <v>18.459745999999999</v>
      </c>
      <c r="GF14" s="545">
        <f t="shared" si="88"/>
        <v>11</v>
      </c>
      <c r="GG14" s="669">
        <f t="shared" si="58"/>
        <v>11</v>
      </c>
      <c r="GH14" s="655" t="s">
        <v>400</v>
      </c>
      <c r="GI14" s="709">
        <f t="shared" si="59"/>
        <v>5.8841219999999996</v>
      </c>
      <c r="GJ14" s="709">
        <f t="shared" si="60"/>
        <v>1.7852380000000001</v>
      </c>
      <c r="GK14" s="709">
        <f t="shared" si="61"/>
        <v>4.6832409999999998</v>
      </c>
      <c r="GL14" s="709">
        <f t="shared" si="62"/>
        <v>0.79535900000000004</v>
      </c>
      <c r="GM14" s="709">
        <f t="shared" si="63"/>
        <v>0.92266300000000001</v>
      </c>
      <c r="GN14" s="709">
        <f t="shared" si="64"/>
        <v>1.5255099999999999</v>
      </c>
      <c r="GO14" s="709">
        <f t="shared" si="65"/>
        <v>2.8636110000000001</v>
      </c>
      <c r="GP14" s="709">
        <f t="shared" si="66"/>
        <v>18.459745999999999</v>
      </c>
      <c r="GQ14" s="656">
        <f t="shared" si="89"/>
        <v>55271284.031788602</v>
      </c>
      <c r="GR14" s="530"/>
      <c r="GU14" s="543">
        <f t="shared" si="90"/>
        <v>11</v>
      </c>
      <c r="GV14" s="669">
        <f t="shared" si="67"/>
        <v>11</v>
      </c>
      <c r="GW14" s="655" t="s">
        <v>400</v>
      </c>
      <c r="GX14" s="658" t="s">
        <v>379</v>
      </c>
      <c r="GY14" s="646">
        <f t="shared" si="68"/>
        <v>10202938.614428153</v>
      </c>
      <c r="GZ14" s="656">
        <f t="shared" si="69"/>
        <v>55271284.031788602</v>
      </c>
      <c r="HA14" s="709">
        <f t="shared" si="91"/>
        <v>18.459745999999999</v>
      </c>
      <c r="HB14" s="646">
        <f t="shared" si="70"/>
        <v>10202938.643206734</v>
      </c>
      <c r="HC14" s="749">
        <f t="shared" si="71"/>
        <v>2.8778580948710442E-2</v>
      </c>
      <c r="HD14" s="549"/>
      <c r="HG14" s="549"/>
      <c r="HH14" s="549"/>
      <c r="HI14" s="549"/>
      <c r="HJ14" s="549"/>
      <c r="HK14" s="549"/>
      <c r="HL14" s="549"/>
      <c r="HM14" s="549"/>
      <c r="HP14" s="545">
        <f t="shared" si="122"/>
        <v>11</v>
      </c>
      <c r="HQ14" s="761">
        <f t="shared" si="72"/>
        <v>11</v>
      </c>
      <c r="HR14" s="655" t="s">
        <v>400</v>
      </c>
      <c r="HS14" s="656">
        <f t="shared" si="92"/>
        <v>55271284.031788602</v>
      </c>
      <c r="HT14" s="756">
        <f t="shared" si="93"/>
        <v>18.459745999999999</v>
      </c>
      <c r="HU14" s="756">
        <v>16.373829000000001</v>
      </c>
      <c r="HV14" s="647">
        <f t="shared" si="94"/>
        <v>0.12739335435834831</v>
      </c>
      <c r="HW14" s="756">
        <f t="shared" si="95"/>
        <v>2.0859169999999985</v>
      </c>
      <c r="HX14" s="648">
        <v>25</v>
      </c>
      <c r="IO14" s="545">
        <v>11</v>
      </c>
      <c r="IP14" s="761">
        <v>11</v>
      </c>
      <c r="IQ14" s="655" t="s">
        <v>400</v>
      </c>
      <c r="IR14" s="769">
        <f t="shared" si="96"/>
        <v>10202938.614428153</v>
      </c>
      <c r="IS14" s="770">
        <f t="shared" si="96"/>
        <v>55271284.031788602</v>
      </c>
      <c r="IT14" s="771">
        <f t="shared" si="96"/>
        <v>18.459745999999999</v>
      </c>
      <c r="IU14" s="656">
        <f t="shared" si="97"/>
        <v>8115265.2816754431</v>
      </c>
      <c r="IV14" s="656">
        <f t="shared" si="98"/>
        <v>47156018.750113159</v>
      </c>
      <c r="IW14" s="769">
        <f t="shared" si="99"/>
        <v>121728.97922513164</v>
      </c>
      <c r="IX14" s="769">
        <f t="shared" si="100"/>
        <v>10081209.635203023</v>
      </c>
      <c r="IY14" s="550">
        <f t="shared" si="101"/>
        <v>18.239506846638371</v>
      </c>
      <c r="IZ14" s="550">
        <f t="shared" si="102"/>
        <v>19.739506846638371</v>
      </c>
      <c r="JA14" s="769">
        <f t="shared" si="103"/>
        <v>10202938.614428155</v>
      </c>
      <c r="JB14" s="746">
        <f t="shared" si="104"/>
        <v>0.22023915336162858</v>
      </c>
      <c r="JF14" s="545">
        <f t="shared" si="123"/>
        <v>11</v>
      </c>
      <c r="JG14" s="761">
        <f t="shared" si="73"/>
        <v>11</v>
      </c>
      <c r="JH14" s="655" t="s">
        <v>400</v>
      </c>
      <c r="JI14" s="656">
        <f t="shared" si="105"/>
        <v>55271284.031788602</v>
      </c>
      <c r="JJ14" s="756">
        <f t="shared" si="106"/>
        <v>18.239506846638371</v>
      </c>
      <c r="JK14" s="756">
        <v>16.151595464916259</v>
      </c>
      <c r="JL14" s="647">
        <f t="shared" si="126"/>
        <v>0.12926966789487615</v>
      </c>
      <c r="JM14" s="756">
        <f t="shared" si="108"/>
        <v>2.0879113817221118</v>
      </c>
      <c r="JN14" s="648">
        <v>25</v>
      </c>
      <c r="JS14" s="756">
        <v>18.261111175750457</v>
      </c>
      <c r="JT14" s="1005">
        <f t="shared" si="109"/>
        <v>-2.1604329112086873E-2</v>
      </c>
      <c r="JU14" s="1009">
        <v>55181479</v>
      </c>
      <c r="JV14" s="1009">
        <f t="shared" si="110"/>
        <v>-89805.031788602471</v>
      </c>
      <c r="JW14" s="978">
        <f t="shared" si="124"/>
        <v>-1.183078559905817E-3</v>
      </c>
      <c r="JX14" s="997">
        <v>10076751.228613392</v>
      </c>
      <c r="JY14" s="997">
        <f t="shared" si="111"/>
        <v>10081209.635203023</v>
      </c>
      <c r="JZ14" s="516"/>
      <c r="KA14" s="516"/>
      <c r="KB14" s="516"/>
      <c r="KC14" s="516"/>
      <c r="KE14" s="516"/>
      <c r="KF14" s="516"/>
    </row>
    <row r="15" spans="1:292" ht="16.5" x14ac:dyDescent="0.3">
      <c r="I15" s="222">
        <f t="shared" si="112"/>
        <v>12</v>
      </c>
      <c r="J15" s="659">
        <f t="shared" si="1"/>
        <v>12</v>
      </c>
      <c r="K15" s="660" t="s">
        <v>401</v>
      </c>
      <c r="L15" s="991">
        <v>25048305.77054067</v>
      </c>
      <c r="M15" s="662">
        <f t="shared" si="2"/>
        <v>1.1463058207630262E-2</v>
      </c>
      <c r="N15" s="661">
        <v>1606</v>
      </c>
      <c r="O15" s="661">
        <f t="shared" si="74"/>
        <v>15596.703468580741</v>
      </c>
      <c r="P15" s="662">
        <f t="shared" si="3"/>
        <v>8.7812461358727431E-3</v>
      </c>
      <c r="Q15" s="663" t="s">
        <v>384</v>
      </c>
      <c r="U15" s="551">
        <f t="shared" si="113"/>
        <v>12</v>
      </c>
      <c r="V15" s="670">
        <f t="shared" si="4"/>
        <v>12</v>
      </c>
      <c r="W15" s="660" t="s">
        <v>401</v>
      </c>
      <c r="X15" s="671">
        <f t="shared" si="75"/>
        <v>1405728.0892235551</v>
      </c>
      <c r="Y15" s="662">
        <f t="shared" si="5"/>
        <v>1.4562790097222627E-2</v>
      </c>
      <c r="AC15" s="551">
        <f t="shared" si="114"/>
        <v>12</v>
      </c>
      <c r="AD15" s="681">
        <v>12</v>
      </c>
      <c r="AE15" s="682" t="s">
        <v>401</v>
      </c>
      <c r="AF15" s="683">
        <v>5.03</v>
      </c>
      <c r="AP15" s="551">
        <f t="shared" si="77"/>
        <v>12</v>
      </c>
      <c r="AQ15" s="697">
        <f t="shared" si="6"/>
        <v>12</v>
      </c>
      <c r="AR15" s="660" t="s">
        <v>401</v>
      </c>
      <c r="AS15" s="660">
        <f t="shared" si="7"/>
        <v>5.03</v>
      </c>
      <c r="AT15" s="698">
        <f t="shared" si="78"/>
        <v>25048305.77054067</v>
      </c>
      <c r="AU15" s="698">
        <f t="shared" si="115"/>
        <v>34998.049451616549</v>
      </c>
      <c r="AV15" s="699">
        <f t="shared" si="8"/>
        <v>36141.095325462185</v>
      </c>
      <c r="AW15" s="700">
        <f t="shared" si="9"/>
        <v>21.592508896755891</v>
      </c>
      <c r="AX15" s="671">
        <f t="shared" si="125"/>
        <v>780376.92235354497</v>
      </c>
      <c r="AY15" s="465">
        <f t="shared" si="79"/>
        <v>1.8627895116490018E-2</v>
      </c>
      <c r="AZ15" s="553">
        <f t="shared" si="10"/>
        <v>3.115488</v>
      </c>
      <c r="BK15" s="222">
        <f t="shared" si="116"/>
        <v>12</v>
      </c>
      <c r="BL15" s="663">
        <f t="shared" si="11"/>
        <v>12</v>
      </c>
      <c r="BM15" s="660" t="s">
        <v>401</v>
      </c>
      <c r="BN15" s="662">
        <f t="shared" si="80"/>
        <v>1.8627895116490018E-2</v>
      </c>
      <c r="BO15" s="671">
        <f t="shared" si="81"/>
        <v>178580.28219197947</v>
      </c>
      <c r="BP15" s="662">
        <f t="shared" si="82"/>
        <v>1.1463058207630262E-2</v>
      </c>
      <c r="BQ15" s="671">
        <f t="shared" si="83"/>
        <v>109893.0478564677</v>
      </c>
      <c r="BR15" s="710">
        <f t="shared" si="12"/>
        <v>288473.33004844718</v>
      </c>
      <c r="BS15" s="711">
        <f t="shared" si="13"/>
        <v>1.1516679999999999</v>
      </c>
      <c r="BV15" s="15"/>
      <c r="BW15" s="190"/>
      <c r="BX15" s="190"/>
      <c r="BY15" s="190"/>
      <c r="BZ15" s="190"/>
      <c r="CA15" s="190"/>
      <c r="CB15" s="190"/>
      <c r="CC15" s="190"/>
      <c r="CD15" s="190"/>
      <c r="CH15" s="222">
        <f t="shared" si="117"/>
        <v>12</v>
      </c>
      <c r="CI15" s="681">
        <f t="shared" si="15"/>
        <v>12</v>
      </c>
      <c r="CJ15" s="660" t="s">
        <v>401</v>
      </c>
      <c r="CK15" s="723">
        <f t="shared" si="16"/>
        <v>1.1463058207630262E-2</v>
      </c>
      <c r="CL15" s="650">
        <f t="shared" si="17"/>
        <v>67193.452797338949</v>
      </c>
      <c r="CM15" s="723">
        <f t="shared" si="18"/>
        <v>8.7812461358727431E-3</v>
      </c>
      <c r="CN15" s="650">
        <f t="shared" si="19"/>
        <v>168705.10715359231</v>
      </c>
      <c r="CO15" s="650">
        <f t="shared" si="20"/>
        <v>235898.55995093126</v>
      </c>
      <c r="CP15" s="723">
        <f t="shared" si="21"/>
        <v>9.4082007267419169E-3</v>
      </c>
      <c r="CQ15" s="724">
        <f t="shared" si="22"/>
        <v>0.94177500000000003</v>
      </c>
      <c r="DD15" s="15"/>
      <c r="DG15" s="551">
        <f t="shared" si="118"/>
        <v>12</v>
      </c>
      <c r="DH15" s="677">
        <f t="shared" si="24"/>
        <v>12</v>
      </c>
      <c r="DI15" s="660" t="s">
        <v>401</v>
      </c>
      <c r="DJ15" s="723">
        <f t="shared" si="25"/>
        <v>9.4082007267419169E-3</v>
      </c>
      <c r="DK15" s="650">
        <f t="shared" si="84"/>
        <v>3544.0196756024634</v>
      </c>
      <c r="DL15" s="723">
        <f t="shared" si="26"/>
        <v>8.7812461358727431E-3</v>
      </c>
      <c r="DM15" s="650">
        <f t="shared" si="27"/>
        <v>21497.680481539268</v>
      </c>
      <c r="DN15" s="723">
        <f t="shared" si="28"/>
        <v>1.1463058207630262E-2</v>
      </c>
      <c r="DO15" s="650">
        <f t="shared" si="29"/>
        <v>40680.834758436824</v>
      </c>
      <c r="DP15" s="650">
        <f t="shared" si="85"/>
        <v>65722.534915578552</v>
      </c>
      <c r="DQ15" s="723">
        <f t="shared" si="30"/>
        <v>1.0311529273370715E-2</v>
      </c>
      <c r="DR15" s="724">
        <f t="shared" si="31"/>
        <v>0.26238299999999998</v>
      </c>
      <c r="DV15" s="551">
        <f t="shared" si="119"/>
        <v>12</v>
      </c>
      <c r="DW15" s="677">
        <f t="shared" si="32"/>
        <v>12</v>
      </c>
      <c r="DX15" s="660" t="s">
        <v>401</v>
      </c>
      <c r="DY15" s="723">
        <f t="shared" si="33"/>
        <v>8.7812461358727431E-3</v>
      </c>
      <c r="DZ15" s="650">
        <f t="shared" si="34"/>
        <v>35256.741955053054</v>
      </c>
      <c r="EA15" s="724">
        <f t="shared" si="35"/>
        <v>0.14075499999999999</v>
      </c>
      <c r="EM15" s="551">
        <f t="shared" si="120"/>
        <v>12</v>
      </c>
      <c r="EN15" s="677">
        <f t="shared" si="36"/>
        <v>12</v>
      </c>
      <c r="EO15" s="660" t="s">
        <v>401</v>
      </c>
      <c r="EP15" s="723">
        <f t="shared" si="37"/>
        <v>1.4562790097222627E-2</v>
      </c>
      <c r="EQ15" s="650">
        <f t="shared" si="38"/>
        <v>113994.88757464962</v>
      </c>
      <c r="ER15" s="723">
        <f t="shared" si="39"/>
        <v>9.4082007267419169E-3</v>
      </c>
      <c r="ES15" s="650">
        <f t="shared" si="40"/>
        <v>9506.425503691029</v>
      </c>
      <c r="ET15" s="723">
        <f t="shared" si="41"/>
        <v>1.1463058207630262E-2</v>
      </c>
      <c r="EU15" s="650">
        <f t="shared" si="42"/>
        <v>49032.207138710284</v>
      </c>
      <c r="EV15" s="650">
        <f t="shared" si="43"/>
        <v>172533.52021705094</v>
      </c>
      <c r="EW15" s="723">
        <f t="shared" si="44"/>
        <v>1.3154762069160461E-2</v>
      </c>
      <c r="EX15" s="724">
        <f t="shared" si="45"/>
        <v>0.68880300000000005</v>
      </c>
      <c r="FH15" s="551">
        <f t="shared" si="121"/>
        <v>12</v>
      </c>
      <c r="FI15" s="670">
        <f t="shared" si="46"/>
        <v>12</v>
      </c>
      <c r="FJ15" s="660" t="s">
        <v>401</v>
      </c>
      <c r="FK15" s="723">
        <f t="shared" si="47"/>
        <v>1.4562790097222627E-2</v>
      </c>
      <c r="FL15" s="650">
        <f t="shared" si="48"/>
        <v>286089.56543627265</v>
      </c>
      <c r="FM15" s="724">
        <f t="shared" si="49"/>
        <v>1.1421509999999999</v>
      </c>
      <c r="FQ15" s="222">
        <v>12</v>
      </c>
      <c r="FR15" s="670">
        <v>12</v>
      </c>
      <c r="FS15" s="660" t="s">
        <v>401</v>
      </c>
      <c r="FT15" s="650">
        <f t="shared" si="50"/>
        <v>780376.92235354497</v>
      </c>
      <c r="FU15" s="650">
        <f t="shared" si="51"/>
        <v>288473.33004844718</v>
      </c>
      <c r="FV15" s="650">
        <f t="shared" si="52"/>
        <v>235898.55995093126</v>
      </c>
      <c r="FW15" s="650">
        <f t="shared" si="87"/>
        <v>65722.534915578552</v>
      </c>
      <c r="FX15" s="650">
        <f t="shared" si="53"/>
        <v>35256.741955053054</v>
      </c>
      <c r="FY15" s="650">
        <f t="shared" si="54"/>
        <v>172533.52021705094</v>
      </c>
      <c r="FZ15" s="650">
        <f t="shared" si="55"/>
        <v>286089.56543627265</v>
      </c>
      <c r="GA15" s="650">
        <f t="shared" si="56"/>
        <v>1864351.1748768787</v>
      </c>
      <c r="GB15" s="747">
        <f t="shared" si="57"/>
        <v>7.4430230000000002</v>
      </c>
      <c r="GF15" s="551">
        <f t="shared" si="88"/>
        <v>12</v>
      </c>
      <c r="GG15" s="670">
        <f t="shared" si="58"/>
        <v>12</v>
      </c>
      <c r="GH15" s="660" t="s">
        <v>401</v>
      </c>
      <c r="GI15" s="724">
        <f t="shared" si="59"/>
        <v>3.115488</v>
      </c>
      <c r="GJ15" s="724">
        <f t="shared" si="60"/>
        <v>1.1516679999999999</v>
      </c>
      <c r="GK15" s="724">
        <f t="shared" si="61"/>
        <v>0.94177500000000003</v>
      </c>
      <c r="GL15" s="724">
        <f t="shared" si="62"/>
        <v>0.26238299999999998</v>
      </c>
      <c r="GM15" s="724">
        <f t="shared" si="63"/>
        <v>0.14075499999999999</v>
      </c>
      <c r="GN15" s="724">
        <f t="shared" si="64"/>
        <v>0.68880300000000005</v>
      </c>
      <c r="GO15" s="724">
        <f t="shared" si="65"/>
        <v>1.1421509999999999</v>
      </c>
      <c r="GP15" s="724">
        <f t="shared" si="66"/>
        <v>7.4430230000000002</v>
      </c>
      <c r="GQ15" s="661">
        <f t="shared" si="89"/>
        <v>25048305.77054067</v>
      </c>
      <c r="GR15" s="530"/>
      <c r="GU15" s="222">
        <f t="shared" si="90"/>
        <v>12</v>
      </c>
      <c r="GV15" s="670">
        <f t="shared" si="67"/>
        <v>12</v>
      </c>
      <c r="GW15" s="660" t="s">
        <v>401</v>
      </c>
      <c r="GX15" s="663" t="s">
        <v>384</v>
      </c>
      <c r="GY15" s="671">
        <f t="shared" si="68"/>
        <v>1864351.1748768787</v>
      </c>
      <c r="GZ15" s="661">
        <f t="shared" si="69"/>
        <v>25048305.77054067</v>
      </c>
      <c r="HA15" s="724">
        <f t="shared" si="91"/>
        <v>7.4430230000000002</v>
      </c>
      <c r="HB15" s="650">
        <f t="shared" si="70"/>
        <v>1864351.1596116691</v>
      </c>
      <c r="HC15" s="750">
        <f t="shared" si="71"/>
        <v>-1.5265209600329399E-2</v>
      </c>
      <c r="HD15" s="549"/>
      <c r="HG15" s="549"/>
      <c r="HH15" s="549"/>
      <c r="HI15" s="549"/>
      <c r="HJ15" s="549"/>
      <c r="HK15" s="549"/>
      <c r="HL15" s="549"/>
      <c r="HM15" s="549"/>
      <c r="HP15" s="551">
        <f t="shared" si="122"/>
        <v>12</v>
      </c>
      <c r="HQ15" s="762">
        <f t="shared" si="72"/>
        <v>12</v>
      </c>
      <c r="HR15" s="660" t="s">
        <v>401</v>
      </c>
      <c r="HS15" s="661">
        <f t="shared" si="92"/>
        <v>25048305.77054067</v>
      </c>
      <c r="HT15" s="757">
        <f t="shared" si="93"/>
        <v>7.4430230000000002</v>
      </c>
      <c r="HU15" s="757">
        <v>6.4709839999999996</v>
      </c>
      <c r="HV15" s="651">
        <f t="shared" si="94"/>
        <v>0.15021502139396437</v>
      </c>
      <c r="HW15" s="757">
        <f t="shared" si="95"/>
        <v>0.97203900000000054</v>
      </c>
      <c r="HX15" s="652">
        <v>10</v>
      </c>
      <c r="IO15" s="551">
        <v>12</v>
      </c>
      <c r="IP15" s="762">
        <v>12</v>
      </c>
      <c r="IQ15" s="660" t="s">
        <v>401</v>
      </c>
      <c r="IR15" s="772">
        <f t="shared" si="96"/>
        <v>1864351.1748768787</v>
      </c>
      <c r="IS15" s="773">
        <f t="shared" si="96"/>
        <v>25048305.77054067</v>
      </c>
      <c r="IT15" s="774">
        <f t="shared" si="96"/>
        <v>7.4430230000000002</v>
      </c>
      <c r="IU15" s="991">
        <v>0</v>
      </c>
      <c r="IV15" s="661">
        <f t="shared" si="98"/>
        <v>25048305.77054067</v>
      </c>
      <c r="IW15" s="772">
        <f t="shared" si="99"/>
        <v>0</v>
      </c>
      <c r="IX15" s="772">
        <f t="shared" si="100"/>
        <v>1864351.1748768787</v>
      </c>
      <c r="IY15" s="455">
        <f>IT15</f>
        <v>7.4430230000000002</v>
      </c>
      <c r="IZ15" s="555">
        <f>IY15</f>
        <v>7.4430230000000002</v>
      </c>
      <c r="JA15" s="772">
        <f t="shared" si="103"/>
        <v>1864351.1596116691</v>
      </c>
      <c r="JB15" s="778">
        <f t="shared" si="104"/>
        <v>0</v>
      </c>
      <c r="JF15" s="551">
        <f t="shared" si="123"/>
        <v>12</v>
      </c>
      <c r="JG15" s="762">
        <f t="shared" si="73"/>
        <v>12</v>
      </c>
      <c r="JH15" s="660" t="s">
        <v>401</v>
      </c>
      <c r="JI15" s="661">
        <f t="shared" si="105"/>
        <v>25048305.77054067</v>
      </c>
      <c r="JJ15" s="757">
        <f t="shared" si="106"/>
        <v>7.4430230000000002</v>
      </c>
      <c r="JK15" s="757">
        <v>6.4709839999999996</v>
      </c>
      <c r="JL15" s="651">
        <f t="shared" si="126"/>
        <v>0.15021502139396437</v>
      </c>
      <c r="JM15" s="757">
        <f t="shared" si="108"/>
        <v>0.97203900000000054</v>
      </c>
      <c r="JN15" s="652">
        <v>10</v>
      </c>
      <c r="JS15" s="757">
        <v>7.4486800000000004</v>
      </c>
      <c r="JT15" s="757">
        <f t="shared" si="109"/>
        <v>-5.6570000000002452E-3</v>
      </c>
      <c r="JU15" s="1010">
        <v>27254832</v>
      </c>
      <c r="JV15" s="1010">
        <f t="shared" si="110"/>
        <v>2206526.2294593304</v>
      </c>
      <c r="JW15" s="978">
        <f t="shared" si="124"/>
        <v>-7.5946342170696616E-4</v>
      </c>
      <c r="JX15" s="997">
        <v>2030125.2202176002</v>
      </c>
      <c r="JY15" s="997">
        <f t="shared" si="111"/>
        <v>1864351.1596116691</v>
      </c>
      <c r="JZ15" s="516"/>
      <c r="KA15" s="516"/>
      <c r="KB15" s="516"/>
      <c r="KC15" s="516"/>
      <c r="KE15" s="516"/>
      <c r="KF15" s="516"/>
    </row>
    <row r="16" spans="1:292" ht="16.5" x14ac:dyDescent="0.3">
      <c r="E16" s="411"/>
      <c r="I16" s="543">
        <f t="shared" si="112"/>
        <v>13</v>
      </c>
      <c r="J16" s="654">
        <f t="shared" si="1"/>
        <v>13</v>
      </c>
      <c r="K16" s="655" t="s">
        <v>402</v>
      </c>
      <c r="L16" s="991">
        <v>706.36797237044334</v>
      </c>
      <c r="M16" s="657">
        <f t="shared" si="2"/>
        <v>3.2326087270985033E-7</v>
      </c>
      <c r="N16" s="656">
        <v>18</v>
      </c>
      <c r="O16" s="656">
        <f t="shared" si="74"/>
        <v>39.242665131691297</v>
      </c>
      <c r="P16" s="657">
        <f t="shared" si="3"/>
        <v>2.2094380536451263E-5</v>
      </c>
      <c r="Q16" s="658" t="s">
        <v>379</v>
      </c>
      <c r="U16" s="545">
        <f>+U15+1</f>
        <v>13</v>
      </c>
      <c r="V16" s="669">
        <f t="shared" si="4"/>
        <v>13</v>
      </c>
      <c r="W16" s="655" t="s">
        <v>402</v>
      </c>
      <c r="X16" s="646">
        <f t="shared" si="75"/>
        <v>982.18515663401308</v>
      </c>
      <c r="Y16" s="657">
        <f t="shared" si="5"/>
        <v>1.017505190535762E-5</v>
      </c>
      <c r="AC16" s="545">
        <f t="shared" si="114"/>
        <v>13</v>
      </c>
      <c r="AD16" s="678">
        <v>13</v>
      </c>
      <c r="AE16" s="679" t="s">
        <v>402</v>
      </c>
      <c r="AF16" s="680">
        <v>74.84</v>
      </c>
      <c r="AP16" s="545">
        <f t="shared" si="77"/>
        <v>13</v>
      </c>
      <c r="AQ16" s="693">
        <f t="shared" si="6"/>
        <v>13</v>
      </c>
      <c r="AR16" s="655" t="s">
        <v>402</v>
      </c>
      <c r="AS16" s="655">
        <f t="shared" si="7"/>
        <v>74.84</v>
      </c>
      <c r="AT16" s="694">
        <f t="shared" si="78"/>
        <v>706.36797237044334</v>
      </c>
      <c r="AU16" s="694">
        <f t="shared" si="115"/>
        <v>14.684605292278883</v>
      </c>
      <c r="AV16" s="695">
        <f t="shared" si="8"/>
        <v>15.164208520212945</v>
      </c>
      <c r="AW16" s="696">
        <f t="shared" si="9"/>
        <v>21.592508896755891</v>
      </c>
      <c r="AX16" s="646">
        <f>AV16*AW16</f>
        <v>327.43330738495951</v>
      </c>
      <c r="AY16" s="544">
        <f t="shared" si="79"/>
        <v>7.815958074743232E-6</v>
      </c>
      <c r="AZ16" s="548">
        <f t="shared" si="10"/>
        <v>46.354495</v>
      </c>
      <c r="BK16" s="543">
        <f t="shared" si="116"/>
        <v>13</v>
      </c>
      <c r="BL16" s="658">
        <f t="shared" si="11"/>
        <v>13</v>
      </c>
      <c r="BM16" s="655" t="s">
        <v>402</v>
      </c>
      <c r="BN16" s="657">
        <f t="shared" si="80"/>
        <v>7.815958074743232E-6</v>
      </c>
      <c r="BO16" s="646">
        <f t="shared" si="81"/>
        <v>74.92934600822079</v>
      </c>
      <c r="BP16" s="657">
        <f t="shared" si="82"/>
        <v>3.2326087270985033E-7</v>
      </c>
      <c r="BQ16" s="646">
        <f t="shared" si="83"/>
        <v>3.0990091746355128</v>
      </c>
      <c r="BR16" s="708">
        <f t="shared" si="12"/>
        <v>78.028355182856302</v>
      </c>
      <c r="BS16" s="709">
        <f t="shared" si="13"/>
        <v>11.046417</v>
      </c>
      <c r="BV16" s="15"/>
      <c r="BW16" s="190"/>
      <c r="BX16" s="190"/>
      <c r="BY16" s="190"/>
      <c r="BZ16" s="190"/>
      <c r="CA16" s="190"/>
      <c r="CB16" s="190"/>
      <c r="CC16" s="190"/>
      <c r="CD16" s="190"/>
      <c r="CH16" s="543">
        <f t="shared" si="117"/>
        <v>13</v>
      </c>
      <c r="CI16" s="678">
        <f t="shared" si="15"/>
        <v>13</v>
      </c>
      <c r="CJ16" s="655" t="s">
        <v>402</v>
      </c>
      <c r="CK16" s="657">
        <f t="shared" si="16"/>
        <v>3.2326087270985033E-7</v>
      </c>
      <c r="CL16" s="646">
        <f t="shared" si="17"/>
        <v>1.8948707926125301</v>
      </c>
      <c r="CM16" s="657">
        <f t="shared" si="18"/>
        <v>2.2094380536451263E-5</v>
      </c>
      <c r="CN16" s="646">
        <f t="shared" si="19"/>
        <v>424.4767517297015</v>
      </c>
      <c r="CO16" s="646">
        <f t="shared" si="20"/>
        <v>426.37162252231406</v>
      </c>
      <c r="CP16" s="657">
        <f t="shared" si="21"/>
        <v>1.7004723596917951E-5</v>
      </c>
      <c r="CQ16" s="709">
        <f t="shared" si="22"/>
        <v>60.36112</v>
      </c>
      <c r="DD16" s="15"/>
      <c r="DG16" s="545">
        <f t="shared" si="118"/>
        <v>13</v>
      </c>
      <c r="DH16" s="739">
        <f t="shared" si="24"/>
        <v>13</v>
      </c>
      <c r="DI16" s="655" t="s">
        <v>402</v>
      </c>
      <c r="DJ16" s="657">
        <f t="shared" si="25"/>
        <v>1.7004723596917951E-5</v>
      </c>
      <c r="DK16" s="646">
        <f t="shared" si="84"/>
        <v>6.4055898418877231</v>
      </c>
      <c r="DL16" s="657">
        <f t="shared" si="26"/>
        <v>2.2094380536451263E-5</v>
      </c>
      <c r="DM16" s="646">
        <f t="shared" si="27"/>
        <v>54.090037548294134</v>
      </c>
      <c r="DN16" s="657">
        <f t="shared" si="28"/>
        <v>3.2326087270985033E-7</v>
      </c>
      <c r="DO16" s="646">
        <f t="shared" si="29"/>
        <v>1.1472088781529519</v>
      </c>
      <c r="DP16" s="646">
        <f t="shared" si="85"/>
        <v>61.642836268334811</v>
      </c>
      <c r="DQ16" s="657">
        <f t="shared" si="30"/>
        <v>9.6714454409132243E-6</v>
      </c>
      <c r="DR16" s="709">
        <f t="shared" si="31"/>
        <v>8.7267309999999991</v>
      </c>
      <c r="DV16" s="545">
        <f t="shared" si="119"/>
        <v>13</v>
      </c>
      <c r="DW16" s="739">
        <f t="shared" si="32"/>
        <v>13</v>
      </c>
      <c r="DX16" s="655" t="s">
        <v>402</v>
      </c>
      <c r="DY16" s="657">
        <f t="shared" si="33"/>
        <v>2.2094380536451263E-5</v>
      </c>
      <c r="DZ16" s="646">
        <f t="shared" si="34"/>
        <v>88.709035275548459</v>
      </c>
      <c r="EA16" s="709">
        <f t="shared" si="35"/>
        <v>12.558474</v>
      </c>
      <c r="EM16" s="545">
        <f>+EM15+1</f>
        <v>13</v>
      </c>
      <c r="EN16" s="739">
        <f t="shared" si="36"/>
        <v>13</v>
      </c>
      <c r="EO16" s="655" t="s">
        <v>402</v>
      </c>
      <c r="EP16" s="657">
        <f t="shared" si="37"/>
        <v>1.017505190535762E-5</v>
      </c>
      <c r="EQ16" s="646">
        <f t="shared" si="38"/>
        <v>79.648466418442695</v>
      </c>
      <c r="ER16" s="657">
        <f t="shared" si="39"/>
        <v>1.7004723596917951E-5</v>
      </c>
      <c r="ES16" s="646">
        <f t="shared" si="40"/>
        <v>17.182258625230109</v>
      </c>
      <c r="ET16" s="657">
        <f t="shared" si="41"/>
        <v>3.2326087270985033E-7</v>
      </c>
      <c r="EU16" s="646">
        <f t="shared" si="42"/>
        <v>1.3827194962683806</v>
      </c>
      <c r="EV16" s="646">
        <f t="shared" si="43"/>
        <v>98.213444539941179</v>
      </c>
      <c r="EW16" s="657">
        <f t="shared" si="44"/>
        <v>7.4882520990140378E-6</v>
      </c>
      <c r="EX16" s="709">
        <f t="shared" si="45"/>
        <v>13.904006000000001</v>
      </c>
      <c r="FH16" s="545">
        <f>+FH15+1</f>
        <v>13</v>
      </c>
      <c r="FI16" s="669">
        <f t="shared" si="46"/>
        <v>13</v>
      </c>
      <c r="FJ16" s="655" t="s">
        <v>402</v>
      </c>
      <c r="FK16" s="657">
        <f t="shared" si="47"/>
        <v>1.017505190535762E-5</v>
      </c>
      <c r="FL16" s="646">
        <f t="shared" si="48"/>
        <v>199.89137785144982</v>
      </c>
      <c r="FM16" s="709">
        <f t="shared" si="49"/>
        <v>28.298476999999998</v>
      </c>
      <c r="FQ16" s="543">
        <v>13</v>
      </c>
      <c r="FR16" s="669">
        <v>13</v>
      </c>
      <c r="FS16" s="655" t="s">
        <v>402</v>
      </c>
      <c r="FT16" s="646">
        <f t="shared" si="50"/>
        <v>327.43330738495951</v>
      </c>
      <c r="FU16" s="646">
        <f t="shared" si="51"/>
        <v>78.028355182856302</v>
      </c>
      <c r="FV16" s="646">
        <f t="shared" si="52"/>
        <v>426.37162252231406</v>
      </c>
      <c r="FW16" s="646">
        <f t="shared" si="87"/>
        <v>61.642836268334811</v>
      </c>
      <c r="FX16" s="646">
        <f t="shared" si="53"/>
        <v>88.709035275548459</v>
      </c>
      <c r="FY16" s="646">
        <f t="shared" si="54"/>
        <v>98.213444539941179</v>
      </c>
      <c r="FZ16" s="646">
        <f t="shared" si="55"/>
        <v>199.89137785144982</v>
      </c>
      <c r="GA16" s="646">
        <f t="shared" si="56"/>
        <v>1280.2899790254041</v>
      </c>
      <c r="GB16" s="746">
        <f t="shared" si="57"/>
        <v>181.24972099999999</v>
      </c>
      <c r="GF16" s="545">
        <f t="shared" si="88"/>
        <v>13</v>
      </c>
      <c r="GG16" s="669">
        <f t="shared" si="58"/>
        <v>13</v>
      </c>
      <c r="GH16" s="655" t="s">
        <v>402</v>
      </c>
      <c r="GI16" s="709">
        <f t="shared" si="59"/>
        <v>46.354495</v>
      </c>
      <c r="GJ16" s="709">
        <f t="shared" si="60"/>
        <v>11.046417</v>
      </c>
      <c r="GK16" s="709">
        <f t="shared" si="61"/>
        <v>60.36112</v>
      </c>
      <c r="GL16" s="709">
        <f t="shared" si="62"/>
        <v>8.7267309999999991</v>
      </c>
      <c r="GM16" s="709">
        <f t="shared" si="63"/>
        <v>12.558474</v>
      </c>
      <c r="GN16" s="709">
        <f t="shared" si="64"/>
        <v>13.904006000000001</v>
      </c>
      <c r="GO16" s="709">
        <f t="shared" si="65"/>
        <v>28.298476999999998</v>
      </c>
      <c r="GP16" s="709">
        <f t="shared" si="66"/>
        <v>181.24972099999999</v>
      </c>
      <c r="GQ16" s="656">
        <f t="shared" si="89"/>
        <v>706.36797237044334</v>
      </c>
      <c r="GR16" s="530"/>
      <c r="GU16" s="543">
        <f t="shared" si="90"/>
        <v>13</v>
      </c>
      <c r="GV16" s="669">
        <f t="shared" si="67"/>
        <v>13</v>
      </c>
      <c r="GW16" s="655" t="s">
        <v>402</v>
      </c>
      <c r="GX16" s="658" t="s">
        <v>379</v>
      </c>
      <c r="GY16" s="646">
        <f t="shared" si="68"/>
        <v>1280.2899790254041</v>
      </c>
      <c r="GZ16" s="656">
        <f t="shared" si="69"/>
        <v>706.36797237044334</v>
      </c>
      <c r="HA16" s="709">
        <f t="shared" si="91"/>
        <v>181.24972099999999</v>
      </c>
      <c r="HB16" s="646">
        <f t="shared" si="70"/>
        <v>1280.2899791547854</v>
      </c>
      <c r="HC16" s="749">
        <f t="shared" si="71"/>
        <v>1.2938130566908512E-7</v>
      </c>
      <c r="HD16" s="549"/>
      <c r="HG16" s="549"/>
      <c r="HH16" s="549"/>
      <c r="HI16" s="549"/>
      <c r="HJ16" s="549"/>
      <c r="HK16" s="549"/>
      <c r="HL16" s="549"/>
      <c r="HM16" s="549"/>
      <c r="HP16" s="545">
        <f t="shared" si="122"/>
        <v>13</v>
      </c>
      <c r="HQ16" s="761">
        <f t="shared" si="72"/>
        <v>13</v>
      </c>
      <c r="HR16" s="655" t="s">
        <v>402</v>
      </c>
      <c r="HS16" s="656">
        <f t="shared" si="92"/>
        <v>706.36797237044334</v>
      </c>
      <c r="HT16" s="756">
        <f t="shared" si="93"/>
        <v>181.24972099999999</v>
      </c>
      <c r="HU16" s="756">
        <v>110.337915</v>
      </c>
      <c r="HV16" s="647">
        <f t="shared" si="94"/>
        <v>0.64267850267063675</v>
      </c>
      <c r="HW16" s="756">
        <f t="shared" si="95"/>
        <v>70.911805999999999</v>
      </c>
      <c r="HX16" s="648">
        <v>10</v>
      </c>
      <c r="IO16" s="545">
        <v>13</v>
      </c>
      <c r="IP16" s="761">
        <v>13</v>
      </c>
      <c r="IQ16" s="655" t="s">
        <v>402</v>
      </c>
      <c r="IR16" s="769">
        <f t="shared" si="96"/>
        <v>1280.2899790254041</v>
      </c>
      <c r="IS16" s="770">
        <f t="shared" si="96"/>
        <v>706.36797237044334</v>
      </c>
      <c r="IT16" s="771">
        <f t="shared" si="96"/>
        <v>181.24972099999999</v>
      </c>
      <c r="IU16" s="656">
        <f t="shared" si="97"/>
        <v>103.71323161170707</v>
      </c>
      <c r="IV16" s="656">
        <f t="shared" si="98"/>
        <v>602.65474075873624</v>
      </c>
      <c r="IW16" s="769">
        <f t="shared" si="99"/>
        <v>1.5556984741756061</v>
      </c>
      <c r="IX16" s="769">
        <f t="shared" si="100"/>
        <v>1278.7342805512285</v>
      </c>
      <c r="IY16" s="550">
        <f t="shared" si="101"/>
        <v>181.0294818803898</v>
      </c>
      <c r="IZ16" s="550">
        <f t="shared" si="102"/>
        <v>182.5294818803898</v>
      </c>
      <c r="JA16" s="769">
        <f t="shared" si="103"/>
        <v>1280.2899790254041</v>
      </c>
      <c r="JB16" s="746">
        <f t="shared" si="104"/>
        <v>0.22023911961019849</v>
      </c>
      <c r="JF16" s="545">
        <f t="shared" si="123"/>
        <v>13</v>
      </c>
      <c r="JG16" s="761">
        <f t="shared" si="73"/>
        <v>13</v>
      </c>
      <c r="JH16" s="655" t="s">
        <v>402</v>
      </c>
      <c r="JI16" s="656">
        <f t="shared" si="105"/>
        <v>706.36797237044334</v>
      </c>
      <c r="JJ16" s="756">
        <f t="shared" si="106"/>
        <v>181.0294818803898</v>
      </c>
      <c r="JK16" s="756">
        <v>110.11568161602861</v>
      </c>
      <c r="JL16" s="647">
        <f t="shared" si="126"/>
        <v>0.64399365488774185</v>
      </c>
      <c r="JM16" s="756">
        <f t="shared" si="108"/>
        <v>70.913800264361186</v>
      </c>
      <c r="JN16" s="648">
        <v>10</v>
      </c>
      <c r="JS16" s="756">
        <v>181.29591129167954</v>
      </c>
      <c r="JT16" s="756">
        <f t="shared" si="109"/>
        <v>-0.2664294112897494</v>
      </c>
      <c r="JU16" s="1009">
        <v>849</v>
      </c>
      <c r="JV16" s="1009">
        <f t="shared" si="110"/>
        <v>142.63202762955666</v>
      </c>
      <c r="JW16" s="978">
        <f t="shared" si="124"/>
        <v>-1.4695831218228747E-3</v>
      </c>
      <c r="JX16" s="997">
        <v>1539.2022868663594</v>
      </c>
      <c r="JY16" s="997">
        <f t="shared" si="111"/>
        <v>1278.7342805512285</v>
      </c>
      <c r="JZ16" s="516"/>
      <c r="KA16" s="516"/>
      <c r="KB16" s="516"/>
      <c r="KC16" s="516"/>
      <c r="KE16" s="516"/>
      <c r="KF16" s="516"/>
    </row>
    <row r="17" spans="2:292" ht="16.5" x14ac:dyDescent="0.3">
      <c r="I17" s="222">
        <f>+I16+1</f>
        <v>14</v>
      </c>
      <c r="J17" s="659">
        <f t="shared" si="1"/>
        <v>14</v>
      </c>
      <c r="K17" s="660" t="s">
        <v>403</v>
      </c>
      <c r="L17" s="991">
        <v>3519868</v>
      </c>
      <c r="M17" s="662">
        <f t="shared" si="2"/>
        <v>1.6108255838456331E-3</v>
      </c>
      <c r="N17" s="661">
        <v>1177</v>
      </c>
      <c r="O17" s="661">
        <f t="shared" si="74"/>
        <v>2990.5420560747662</v>
      </c>
      <c r="P17" s="662">
        <f t="shared" si="3"/>
        <v>1.6837330995599883E-3</v>
      </c>
      <c r="Q17" s="663" t="s">
        <v>384</v>
      </c>
      <c r="U17" s="551">
        <f t="shared" si="113"/>
        <v>14</v>
      </c>
      <c r="V17" s="670">
        <f t="shared" si="4"/>
        <v>14</v>
      </c>
      <c r="W17" s="660" t="s">
        <v>403</v>
      </c>
      <c r="X17" s="671">
        <f t="shared" si="75"/>
        <v>217787.90199056335</v>
      </c>
      <c r="Y17" s="662">
        <f t="shared" si="5"/>
        <v>2.2561970033300538E-3</v>
      </c>
      <c r="AC17" s="551">
        <f>+AC16+1</f>
        <v>14</v>
      </c>
      <c r="AD17" s="681">
        <v>14</v>
      </c>
      <c r="AE17" s="682" t="s">
        <v>403</v>
      </c>
      <c r="AF17" s="683">
        <v>5.35</v>
      </c>
      <c r="AP17" s="551">
        <f t="shared" si="77"/>
        <v>14</v>
      </c>
      <c r="AQ17" s="697">
        <f t="shared" si="6"/>
        <v>14</v>
      </c>
      <c r="AR17" s="660" t="s">
        <v>403</v>
      </c>
      <c r="AS17" s="660">
        <f t="shared" si="7"/>
        <v>5.35</v>
      </c>
      <c r="AT17" s="698">
        <f t="shared" si="78"/>
        <v>3519868</v>
      </c>
      <c r="AU17" s="698">
        <f t="shared" si="115"/>
        <v>5230.9149444444438</v>
      </c>
      <c r="AV17" s="699">
        <f t="shared" si="8"/>
        <v>5401.7580581999882</v>
      </c>
      <c r="AW17" s="700">
        <f t="shared" si="9"/>
        <v>21.592508896755891</v>
      </c>
      <c r="AX17" s="671">
        <f t="shared" si="125"/>
        <v>116637.50892980608</v>
      </c>
      <c r="AY17" s="465">
        <f t="shared" si="79"/>
        <v>2.7841818751384883E-3</v>
      </c>
      <c r="AZ17" s="553">
        <f t="shared" si="10"/>
        <v>3.3136899999999998</v>
      </c>
      <c r="BK17" s="222">
        <f t="shared" si="116"/>
        <v>14</v>
      </c>
      <c r="BL17" s="663">
        <f t="shared" si="11"/>
        <v>14</v>
      </c>
      <c r="BM17" s="660" t="s">
        <v>403</v>
      </c>
      <c r="BN17" s="662">
        <f t="shared" si="80"/>
        <v>2.7841818751384883E-3</v>
      </c>
      <c r="BO17" s="671">
        <f t="shared" si="81"/>
        <v>26691.15226528671</v>
      </c>
      <c r="BP17" s="662">
        <f t="shared" si="82"/>
        <v>1.6108255838456331E-3</v>
      </c>
      <c r="BQ17" s="671">
        <f t="shared" si="83"/>
        <v>15442.522385181661</v>
      </c>
      <c r="BR17" s="710">
        <f t="shared" si="12"/>
        <v>42133.674650468369</v>
      </c>
      <c r="BS17" s="711">
        <f t="shared" si="13"/>
        <v>1.1970240000000001</v>
      </c>
      <c r="BV17" s="15"/>
      <c r="BW17" s="190"/>
      <c r="BX17" s="190"/>
      <c r="BY17" s="190"/>
      <c r="BZ17" s="190"/>
      <c r="CA17" s="190"/>
      <c r="CB17" s="190"/>
      <c r="CC17" s="190"/>
      <c r="CD17" s="190"/>
      <c r="CH17" s="222">
        <f t="shared" si="117"/>
        <v>14</v>
      </c>
      <c r="CI17" s="681">
        <f t="shared" si="15"/>
        <v>14</v>
      </c>
      <c r="CJ17" s="660" t="s">
        <v>403</v>
      </c>
      <c r="CK17" s="723">
        <f t="shared" si="16"/>
        <v>1.6108255838456331E-3</v>
      </c>
      <c r="CL17" s="650">
        <f t="shared" si="17"/>
        <v>9442.2387876239482</v>
      </c>
      <c r="CM17" s="723">
        <f t="shared" si="18"/>
        <v>1.6837330995599883E-3</v>
      </c>
      <c r="CN17" s="650">
        <f t="shared" si="19"/>
        <v>32347.843185822123</v>
      </c>
      <c r="CO17" s="650">
        <f t="shared" si="20"/>
        <v>41790.081973446067</v>
      </c>
      <c r="CP17" s="723">
        <f t="shared" si="21"/>
        <v>1.6666887651834834E-3</v>
      </c>
      <c r="CQ17" s="724">
        <f t="shared" si="22"/>
        <v>1.187263</v>
      </c>
      <c r="DD17" s="15"/>
      <c r="DG17" s="551">
        <f t="shared" si="118"/>
        <v>14</v>
      </c>
      <c r="DH17" s="677">
        <f t="shared" si="24"/>
        <v>14</v>
      </c>
      <c r="DI17" s="660" t="s">
        <v>403</v>
      </c>
      <c r="DJ17" s="723">
        <f t="shared" si="25"/>
        <v>1.6666887651834834E-3</v>
      </c>
      <c r="DK17" s="650">
        <f t="shared" si="84"/>
        <v>627.83288202242375</v>
      </c>
      <c r="DL17" s="723">
        <f t="shared" si="26"/>
        <v>1.6837330995599883E-3</v>
      </c>
      <c r="DM17" s="650">
        <f t="shared" si="27"/>
        <v>4122.0067892943671</v>
      </c>
      <c r="DN17" s="723">
        <f t="shared" si="28"/>
        <v>1.6108255838456331E-3</v>
      </c>
      <c r="DO17" s="650">
        <f t="shared" si="29"/>
        <v>5716.6009466363485</v>
      </c>
      <c r="DP17" s="650">
        <f t="shared" si="85"/>
        <v>10466.44061795314</v>
      </c>
      <c r="DQ17" s="723">
        <f t="shared" si="30"/>
        <v>1.6421309518668316E-3</v>
      </c>
      <c r="DR17" s="724">
        <f t="shared" si="31"/>
        <v>0.29735299999999998</v>
      </c>
      <c r="DV17" s="551">
        <f t="shared" si="119"/>
        <v>14</v>
      </c>
      <c r="DW17" s="677">
        <f t="shared" si="32"/>
        <v>14</v>
      </c>
      <c r="DX17" s="660" t="s">
        <v>403</v>
      </c>
      <c r="DY17" s="723">
        <f t="shared" si="33"/>
        <v>1.6837330995599883E-3</v>
      </c>
      <c r="DZ17" s="650">
        <f t="shared" si="34"/>
        <v>6760.1958188896888</v>
      </c>
      <c r="EA17" s="724">
        <f t="shared" si="35"/>
        <v>0.19205800000000001</v>
      </c>
      <c r="EM17" s="551">
        <f t="shared" si="120"/>
        <v>14</v>
      </c>
      <c r="EN17" s="677">
        <f t="shared" si="36"/>
        <v>14</v>
      </c>
      <c r="EO17" s="660" t="s">
        <v>403</v>
      </c>
      <c r="EP17" s="723">
        <f t="shared" si="37"/>
        <v>2.2561970033300538E-3</v>
      </c>
      <c r="EQ17" s="650">
        <f t="shared" si="38"/>
        <v>17661.102166810899</v>
      </c>
      <c r="ER17" s="723">
        <f t="shared" si="39"/>
        <v>1.6666887651834834E-3</v>
      </c>
      <c r="ES17" s="650">
        <f t="shared" si="40"/>
        <v>1684.0895559360031</v>
      </c>
      <c r="ET17" s="723">
        <f t="shared" si="41"/>
        <v>1.6108255838456331E-3</v>
      </c>
      <c r="EU17" s="650">
        <f t="shared" si="42"/>
        <v>6890.1624907460791</v>
      </c>
      <c r="EV17" s="650">
        <f t="shared" si="43"/>
        <v>26235.354213492981</v>
      </c>
      <c r="EW17" s="723">
        <f t="shared" si="44"/>
        <v>2.0003060393393598E-3</v>
      </c>
      <c r="EX17" s="724">
        <f t="shared" si="45"/>
        <v>0.74535099999999999</v>
      </c>
      <c r="FH17" s="551">
        <f t="shared" si="121"/>
        <v>14</v>
      </c>
      <c r="FI17" s="670">
        <f t="shared" si="46"/>
        <v>14</v>
      </c>
      <c r="FJ17" s="660" t="s">
        <v>403</v>
      </c>
      <c r="FK17" s="723">
        <f t="shared" si="47"/>
        <v>2.2561970033300538E-3</v>
      </c>
      <c r="FL17" s="650">
        <f t="shared" si="48"/>
        <v>44323.540744051425</v>
      </c>
      <c r="FM17" s="724">
        <f t="shared" si="49"/>
        <v>1.259239</v>
      </c>
      <c r="FQ17" s="222">
        <v>14</v>
      </c>
      <c r="FR17" s="670">
        <v>14</v>
      </c>
      <c r="FS17" s="660" t="s">
        <v>403</v>
      </c>
      <c r="FT17" s="650">
        <f t="shared" si="50"/>
        <v>116637.50892980608</v>
      </c>
      <c r="FU17" s="650">
        <f t="shared" si="51"/>
        <v>42133.674650468369</v>
      </c>
      <c r="FV17" s="650">
        <f t="shared" si="52"/>
        <v>41790.081973446067</v>
      </c>
      <c r="FW17" s="650">
        <f t="shared" si="87"/>
        <v>10466.44061795314</v>
      </c>
      <c r="FX17" s="650">
        <f t="shared" si="53"/>
        <v>6760.1958188896888</v>
      </c>
      <c r="FY17" s="650">
        <f t="shared" si="54"/>
        <v>26235.354213492981</v>
      </c>
      <c r="FZ17" s="650">
        <f t="shared" si="55"/>
        <v>44323.540744051425</v>
      </c>
      <c r="GA17" s="650">
        <f t="shared" si="56"/>
        <v>288346.79694810777</v>
      </c>
      <c r="GB17" s="747">
        <f t="shared" si="57"/>
        <v>8.1919780000000006</v>
      </c>
      <c r="GF17" s="551">
        <f t="shared" si="88"/>
        <v>14</v>
      </c>
      <c r="GG17" s="670">
        <f t="shared" si="58"/>
        <v>14</v>
      </c>
      <c r="GH17" s="660" t="s">
        <v>403</v>
      </c>
      <c r="GI17" s="724">
        <f t="shared" si="59"/>
        <v>3.3136899999999998</v>
      </c>
      <c r="GJ17" s="724">
        <f t="shared" si="60"/>
        <v>1.1970240000000001</v>
      </c>
      <c r="GK17" s="724">
        <f t="shared" si="61"/>
        <v>1.187263</v>
      </c>
      <c r="GL17" s="724">
        <f t="shared" si="62"/>
        <v>0.29735299999999998</v>
      </c>
      <c r="GM17" s="724">
        <f t="shared" si="63"/>
        <v>0.19205800000000001</v>
      </c>
      <c r="GN17" s="724">
        <f t="shared" si="64"/>
        <v>0.74535099999999999</v>
      </c>
      <c r="GO17" s="724">
        <f t="shared" si="65"/>
        <v>1.259239</v>
      </c>
      <c r="GP17" s="724">
        <f t="shared" si="66"/>
        <v>8.1919780000000006</v>
      </c>
      <c r="GQ17" s="661">
        <f t="shared" si="89"/>
        <v>3519868</v>
      </c>
      <c r="GR17" s="530"/>
      <c r="GU17" s="222">
        <f t="shared" si="90"/>
        <v>14</v>
      </c>
      <c r="GV17" s="670">
        <f t="shared" si="67"/>
        <v>14</v>
      </c>
      <c r="GW17" s="660" t="s">
        <v>403</v>
      </c>
      <c r="GX17" s="663" t="s">
        <v>384</v>
      </c>
      <c r="GY17" s="671">
        <f t="shared" si="68"/>
        <v>288346.79694810777</v>
      </c>
      <c r="GZ17" s="661">
        <f t="shared" si="69"/>
        <v>3519868</v>
      </c>
      <c r="HA17" s="724">
        <f t="shared" si="91"/>
        <v>8.1919780000000006</v>
      </c>
      <c r="HB17" s="650">
        <f t="shared" si="70"/>
        <v>288346.81218904001</v>
      </c>
      <c r="HC17" s="750">
        <f t="shared" si="71"/>
        <v>1.5240932232700288E-2</v>
      </c>
      <c r="HD17" s="549"/>
      <c r="HG17" s="549"/>
      <c r="HH17" s="549"/>
      <c r="HI17" s="549"/>
      <c r="HJ17" s="549"/>
      <c r="HK17" s="549"/>
      <c r="HL17" s="549"/>
      <c r="HM17" s="549"/>
      <c r="HP17" s="551">
        <f>+HP16+1</f>
        <v>14</v>
      </c>
      <c r="HQ17" s="762">
        <f t="shared" si="72"/>
        <v>14</v>
      </c>
      <c r="HR17" s="660" t="s">
        <v>403</v>
      </c>
      <c r="HS17" s="661">
        <f t="shared" si="92"/>
        <v>3519868</v>
      </c>
      <c r="HT17" s="757">
        <f t="shared" si="93"/>
        <v>8.1919780000000006</v>
      </c>
      <c r="HU17" s="757">
        <v>7.1058779999999997</v>
      </c>
      <c r="HV17" s="651">
        <f t="shared" si="94"/>
        <v>0.15284529230589117</v>
      </c>
      <c r="HW17" s="757">
        <f t="shared" si="95"/>
        <v>1.086100000000001</v>
      </c>
      <c r="HX17" s="652">
        <v>10</v>
      </c>
      <c r="IO17" s="551">
        <v>14</v>
      </c>
      <c r="IP17" s="762">
        <v>14</v>
      </c>
      <c r="IQ17" s="660" t="s">
        <v>403</v>
      </c>
      <c r="IR17" s="772">
        <f t="shared" si="96"/>
        <v>288346.79694810777</v>
      </c>
      <c r="IS17" s="773">
        <f t="shared" si="96"/>
        <v>3519868</v>
      </c>
      <c r="IT17" s="774">
        <f t="shared" si="96"/>
        <v>8.1919780000000006</v>
      </c>
      <c r="IU17" s="991">
        <v>0</v>
      </c>
      <c r="IV17" s="661">
        <f t="shared" si="98"/>
        <v>3519868</v>
      </c>
      <c r="IW17" s="772">
        <f t="shared" si="99"/>
        <v>0</v>
      </c>
      <c r="IX17" s="772">
        <f t="shared" si="100"/>
        <v>288346.79694810777</v>
      </c>
      <c r="IY17" s="455">
        <f>IT17</f>
        <v>8.1919780000000006</v>
      </c>
      <c r="IZ17" s="555">
        <f t="shared" ref="IZ17" si="127">IY17</f>
        <v>8.1919780000000006</v>
      </c>
      <c r="JA17" s="772">
        <f t="shared" si="103"/>
        <v>288346.81218904001</v>
      </c>
      <c r="JB17" s="778">
        <f t="shared" si="104"/>
        <v>0</v>
      </c>
      <c r="JF17" s="551">
        <f>+JF16+1</f>
        <v>14</v>
      </c>
      <c r="JG17" s="762">
        <f t="shared" si="73"/>
        <v>14</v>
      </c>
      <c r="JH17" s="660" t="s">
        <v>403</v>
      </c>
      <c r="JI17" s="661">
        <f t="shared" si="105"/>
        <v>3519868</v>
      </c>
      <c r="JJ17" s="757">
        <f t="shared" si="106"/>
        <v>8.1919780000000006</v>
      </c>
      <c r="JK17" s="757">
        <v>7.1058779999999997</v>
      </c>
      <c r="JL17" s="651">
        <f t="shared" si="126"/>
        <v>0.15284529230589117</v>
      </c>
      <c r="JM17" s="757">
        <f t="shared" si="108"/>
        <v>1.086100000000001</v>
      </c>
      <c r="JN17" s="652">
        <v>10</v>
      </c>
      <c r="JS17" s="757">
        <v>8.1987249999999996</v>
      </c>
      <c r="JT17" s="757">
        <f t="shared" si="109"/>
        <v>-6.7469999999989483E-3</v>
      </c>
      <c r="JU17" s="1010">
        <v>3903996</v>
      </c>
      <c r="JV17" s="1010">
        <f t="shared" si="110"/>
        <v>384128</v>
      </c>
      <c r="JW17" s="978">
        <f t="shared" si="124"/>
        <v>-8.2293283406858369E-4</v>
      </c>
      <c r="JX17" s="997">
        <v>320077.89605099999</v>
      </c>
      <c r="JY17" s="997">
        <f t="shared" si="111"/>
        <v>288346.81218904001</v>
      </c>
      <c r="JZ17" s="516"/>
      <c r="KA17" s="516"/>
      <c r="KB17" s="516"/>
      <c r="KC17" s="516"/>
      <c r="KE17" s="516"/>
      <c r="KF17" s="516"/>
    </row>
    <row r="18" spans="2:292" ht="16.5" x14ac:dyDescent="0.3">
      <c r="I18" s="543">
        <f t="shared" si="112"/>
        <v>15</v>
      </c>
      <c r="J18" s="654">
        <f t="shared" si="1"/>
        <v>15</v>
      </c>
      <c r="K18" s="655" t="s">
        <v>404</v>
      </c>
      <c r="L18" s="991">
        <v>100335560.89713162</v>
      </c>
      <c r="M18" s="657">
        <f t="shared" si="2"/>
        <v>4.5917372032872002E-2</v>
      </c>
      <c r="N18" s="656">
        <v>1642</v>
      </c>
      <c r="O18" s="656">
        <f t="shared" si="74"/>
        <v>61105.700911773216</v>
      </c>
      <c r="P18" s="657">
        <f t="shared" si="3"/>
        <v>3.4403693132477813E-2</v>
      </c>
      <c r="Q18" s="658" t="s">
        <v>379</v>
      </c>
      <c r="U18" s="545">
        <f t="shared" si="113"/>
        <v>15</v>
      </c>
      <c r="V18" s="669">
        <f t="shared" si="4"/>
        <v>15</v>
      </c>
      <c r="W18" s="655" t="s">
        <v>404</v>
      </c>
      <c r="X18" s="646">
        <f t="shared" si="75"/>
        <v>4663922.1966275396</v>
      </c>
      <c r="Y18" s="657">
        <f t="shared" si="5"/>
        <v>4.8316399522740812E-2</v>
      </c>
      <c r="AC18" s="545">
        <f t="shared" si="114"/>
        <v>15</v>
      </c>
      <c r="AD18" s="678">
        <v>15</v>
      </c>
      <c r="AE18" s="679" t="s">
        <v>404</v>
      </c>
      <c r="AF18" s="680">
        <v>3.79</v>
      </c>
      <c r="AP18" s="545">
        <f t="shared" si="77"/>
        <v>15</v>
      </c>
      <c r="AQ18" s="693">
        <f t="shared" si="6"/>
        <v>15</v>
      </c>
      <c r="AR18" s="655" t="s">
        <v>404</v>
      </c>
      <c r="AS18" s="655">
        <f t="shared" si="7"/>
        <v>3.79</v>
      </c>
      <c r="AT18" s="694">
        <f t="shared" si="78"/>
        <v>100335560.89713162</v>
      </c>
      <c r="AU18" s="694">
        <f t="shared" si="115"/>
        <v>105631.04883336913</v>
      </c>
      <c r="AV18" s="695">
        <f t="shared" si="8"/>
        <v>109080.98779885033</v>
      </c>
      <c r="AW18" s="696">
        <f t="shared" si="9"/>
        <v>21.592508896755891</v>
      </c>
      <c r="AX18" s="646">
        <f>AV18*AW18</f>
        <v>2355332.1995135965</v>
      </c>
      <c r="AY18" s="544">
        <f t="shared" si="79"/>
        <v>5.6222678964811534E-2</v>
      </c>
      <c r="AZ18" s="548">
        <f t="shared" si="10"/>
        <v>2.3474550000000001</v>
      </c>
      <c r="BK18" s="543">
        <f t="shared" si="116"/>
        <v>15</v>
      </c>
      <c r="BL18" s="658">
        <f t="shared" si="11"/>
        <v>15</v>
      </c>
      <c r="BM18" s="655" t="s">
        <v>404</v>
      </c>
      <c r="BN18" s="657">
        <f t="shared" si="80"/>
        <v>5.6222678964811534E-2</v>
      </c>
      <c r="BO18" s="646">
        <f t="shared" si="81"/>
        <v>538990.68103712623</v>
      </c>
      <c r="BP18" s="657">
        <f t="shared" si="82"/>
        <v>4.5917372032872002E-2</v>
      </c>
      <c r="BQ18" s="646">
        <f t="shared" si="83"/>
        <v>440196.66225657117</v>
      </c>
      <c r="BR18" s="708">
        <f t="shared" si="12"/>
        <v>979187.34329369734</v>
      </c>
      <c r="BS18" s="709">
        <f t="shared" si="13"/>
        <v>0.97591300000000003</v>
      </c>
      <c r="BV18" s="15"/>
      <c r="BW18" s="190"/>
      <c r="BX18" s="190"/>
      <c r="BY18" s="190"/>
      <c r="BZ18" s="190"/>
      <c r="CA18" s="190"/>
      <c r="CB18" s="190"/>
      <c r="CC18" s="190"/>
      <c r="CD18" s="190"/>
      <c r="CH18" s="543">
        <f t="shared" si="117"/>
        <v>15</v>
      </c>
      <c r="CI18" s="678">
        <f t="shared" si="15"/>
        <v>15</v>
      </c>
      <c r="CJ18" s="655" t="s">
        <v>404</v>
      </c>
      <c r="CK18" s="657">
        <f t="shared" si="16"/>
        <v>4.5917372032872002E-2</v>
      </c>
      <c r="CL18" s="646">
        <f t="shared" si="17"/>
        <v>269155.64017767168</v>
      </c>
      <c r="CM18" s="657">
        <f t="shared" si="18"/>
        <v>3.4403693132477813E-2</v>
      </c>
      <c r="CN18" s="646">
        <f t="shared" si="19"/>
        <v>660962.99392900767</v>
      </c>
      <c r="CO18" s="646">
        <f t="shared" si="20"/>
        <v>930118.63410667935</v>
      </c>
      <c r="CP18" s="657">
        <f t="shared" si="21"/>
        <v>3.7095363410352661E-2</v>
      </c>
      <c r="CQ18" s="709">
        <f t="shared" si="22"/>
        <v>0.92700800000000005</v>
      </c>
      <c r="DD18" s="15"/>
      <c r="DG18" s="545">
        <f t="shared" si="118"/>
        <v>15</v>
      </c>
      <c r="DH18" s="739">
        <f t="shared" si="24"/>
        <v>15</v>
      </c>
      <c r="DI18" s="655" t="s">
        <v>404</v>
      </c>
      <c r="DJ18" s="657">
        <f t="shared" si="25"/>
        <v>3.7095363410352661E-2</v>
      </c>
      <c r="DK18" s="646">
        <f t="shared" si="84"/>
        <v>13973.628073881537</v>
      </c>
      <c r="DL18" s="657">
        <f t="shared" si="26"/>
        <v>3.4403693132477813E-2</v>
      </c>
      <c r="DM18" s="646">
        <f t="shared" si="27"/>
        <v>84224.902810269326</v>
      </c>
      <c r="DN18" s="657">
        <f t="shared" si="28"/>
        <v>4.5917372032872002E-2</v>
      </c>
      <c r="DO18" s="646">
        <f t="shared" si="29"/>
        <v>162954.50920484279</v>
      </c>
      <c r="DP18" s="646">
        <f t="shared" si="85"/>
        <v>261153.04008899367</v>
      </c>
      <c r="DQ18" s="657">
        <f t="shared" si="30"/>
        <v>4.0973575063202643E-2</v>
      </c>
      <c r="DR18" s="709">
        <f t="shared" si="31"/>
        <v>0.26028000000000001</v>
      </c>
      <c r="DV18" s="545">
        <f t="shared" si="119"/>
        <v>15</v>
      </c>
      <c r="DW18" s="739">
        <f t="shared" si="32"/>
        <v>15</v>
      </c>
      <c r="DX18" s="655" t="s">
        <v>404</v>
      </c>
      <c r="DY18" s="657">
        <f t="shared" si="33"/>
        <v>3.4403693132477813E-2</v>
      </c>
      <c r="DZ18" s="646">
        <f t="shared" si="34"/>
        <v>138130.97962457332</v>
      </c>
      <c r="EA18" s="709">
        <f t="shared" si="35"/>
        <v>0.13766900000000001</v>
      </c>
      <c r="EM18" s="545">
        <f t="shared" si="120"/>
        <v>15</v>
      </c>
      <c r="EN18" s="739">
        <f t="shared" si="36"/>
        <v>15</v>
      </c>
      <c r="EO18" s="655" t="s">
        <v>404</v>
      </c>
      <c r="EP18" s="657">
        <f t="shared" si="37"/>
        <v>4.8316399522740812E-2</v>
      </c>
      <c r="EQ18" s="646">
        <f t="shared" si="38"/>
        <v>378212.03868461505</v>
      </c>
      <c r="ER18" s="657">
        <f t="shared" si="39"/>
        <v>3.7095363410352661E-2</v>
      </c>
      <c r="ES18" s="646">
        <f t="shared" si="40"/>
        <v>37482.651469212986</v>
      </c>
      <c r="ET18" s="657">
        <f t="shared" si="41"/>
        <v>4.5917372032872002E-2</v>
      </c>
      <c r="EU18" s="646">
        <f t="shared" si="42"/>
        <v>196407.4556720267</v>
      </c>
      <c r="EV18" s="646">
        <f t="shared" si="43"/>
        <v>612102.14582585474</v>
      </c>
      <c r="EW18" s="657">
        <f t="shared" si="44"/>
        <v>4.6669528797836E-2</v>
      </c>
      <c r="EX18" s="709">
        <f t="shared" si="45"/>
        <v>0.61005500000000001</v>
      </c>
      <c r="FH18" s="545">
        <f t="shared" si="121"/>
        <v>15</v>
      </c>
      <c r="FI18" s="669">
        <f t="shared" si="46"/>
        <v>15</v>
      </c>
      <c r="FJ18" s="655" t="s">
        <v>404</v>
      </c>
      <c r="FK18" s="657">
        <f t="shared" si="47"/>
        <v>4.8316399522740812E-2</v>
      </c>
      <c r="FL18" s="646">
        <f t="shared" si="48"/>
        <v>949187.46000071091</v>
      </c>
      <c r="FM18" s="709">
        <f t="shared" si="49"/>
        <v>0.94601299999999999</v>
      </c>
      <c r="FQ18" s="543">
        <v>15</v>
      </c>
      <c r="FR18" s="669">
        <v>15</v>
      </c>
      <c r="FS18" s="655" t="s">
        <v>404</v>
      </c>
      <c r="FT18" s="646">
        <f t="shared" si="50"/>
        <v>2355332.1995135965</v>
      </c>
      <c r="FU18" s="646">
        <f t="shared" si="51"/>
        <v>979187.34329369734</v>
      </c>
      <c r="FV18" s="646">
        <f t="shared" si="52"/>
        <v>930118.63410667935</v>
      </c>
      <c r="FW18" s="646">
        <f t="shared" si="87"/>
        <v>261153.04008899367</v>
      </c>
      <c r="FX18" s="646">
        <f t="shared" si="53"/>
        <v>138130.97962457332</v>
      </c>
      <c r="FY18" s="646">
        <f t="shared" si="54"/>
        <v>612102.14582585474</v>
      </c>
      <c r="FZ18" s="646">
        <f t="shared" si="55"/>
        <v>949187.46000071091</v>
      </c>
      <c r="GA18" s="646">
        <f t="shared" si="56"/>
        <v>6225211.8024541046</v>
      </c>
      <c r="GB18" s="746">
        <f t="shared" si="57"/>
        <v>6.2043920000000004</v>
      </c>
      <c r="GF18" s="545">
        <f t="shared" si="88"/>
        <v>15</v>
      </c>
      <c r="GG18" s="669">
        <f t="shared" si="58"/>
        <v>15</v>
      </c>
      <c r="GH18" s="655" t="s">
        <v>404</v>
      </c>
      <c r="GI18" s="709">
        <f t="shared" si="59"/>
        <v>2.3474550000000001</v>
      </c>
      <c r="GJ18" s="709">
        <f t="shared" si="60"/>
        <v>0.97591300000000003</v>
      </c>
      <c r="GK18" s="709">
        <f t="shared" si="61"/>
        <v>0.92700800000000005</v>
      </c>
      <c r="GL18" s="709">
        <f t="shared" si="62"/>
        <v>0.26028000000000001</v>
      </c>
      <c r="GM18" s="709">
        <f t="shared" si="63"/>
        <v>0.13766900000000001</v>
      </c>
      <c r="GN18" s="709">
        <f t="shared" si="64"/>
        <v>0.61005500000000001</v>
      </c>
      <c r="GO18" s="709">
        <f t="shared" si="65"/>
        <v>0.94601299999999999</v>
      </c>
      <c r="GP18" s="709">
        <f t="shared" si="66"/>
        <v>6.2043920000000004</v>
      </c>
      <c r="GQ18" s="656">
        <f t="shared" si="89"/>
        <v>100335560.89713162</v>
      </c>
      <c r="GR18" s="530"/>
      <c r="GU18" s="543">
        <f t="shared" si="90"/>
        <v>15</v>
      </c>
      <c r="GV18" s="669">
        <f t="shared" si="67"/>
        <v>15</v>
      </c>
      <c r="GW18" s="655" t="s">
        <v>404</v>
      </c>
      <c r="GX18" s="658" t="s">
        <v>379</v>
      </c>
      <c r="GY18" s="646">
        <f t="shared" si="68"/>
        <v>6225211.8024541046</v>
      </c>
      <c r="GZ18" s="656">
        <f t="shared" si="69"/>
        <v>100335560.89713162</v>
      </c>
      <c r="HA18" s="709">
        <f t="shared" si="91"/>
        <v>6.2043920000000004</v>
      </c>
      <c r="HB18" s="646">
        <f t="shared" si="70"/>
        <v>6225211.5134567628</v>
      </c>
      <c r="HC18" s="749">
        <f t="shared" si="71"/>
        <v>-0.28899734187871218</v>
      </c>
      <c r="HD18" s="549"/>
      <c r="HG18" s="549"/>
      <c r="HH18" s="549"/>
      <c r="HI18" s="549"/>
      <c r="HJ18" s="549"/>
      <c r="HK18" s="549"/>
      <c r="HL18" s="549"/>
      <c r="HM18" s="549"/>
      <c r="HP18" s="545">
        <f t="shared" si="122"/>
        <v>15</v>
      </c>
      <c r="HQ18" s="761">
        <f t="shared" si="72"/>
        <v>15</v>
      </c>
      <c r="HR18" s="655" t="s">
        <v>404</v>
      </c>
      <c r="HS18" s="656">
        <f t="shared" si="92"/>
        <v>100335560.89713162</v>
      </c>
      <c r="HT18" s="756">
        <f t="shared" si="93"/>
        <v>6.2043920000000004</v>
      </c>
      <c r="HU18" s="756">
        <v>5.4117150000000001</v>
      </c>
      <c r="HV18" s="647">
        <f t="shared" si="94"/>
        <v>0.1464742692473644</v>
      </c>
      <c r="HW18" s="756">
        <f t="shared" si="95"/>
        <v>0.7926770000000003</v>
      </c>
      <c r="HX18" s="648">
        <v>10</v>
      </c>
      <c r="IO18" s="545">
        <v>15</v>
      </c>
      <c r="IP18" s="761">
        <v>15</v>
      </c>
      <c r="IQ18" s="655" t="s">
        <v>404</v>
      </c>
      <c r="IR18" s="769">
        <f t="shared" si="96"/>
        <v>6225211.8024541046</v>
      </c>
      <c r="IS18" s="770">
        <f t="shared" si="96"/>
        <v>100335560.89713162</v>
      </c>
      <c r="IT18" s="771">
        <f t="shared" si="96"/>
        <v>6.2043920000000004</v>
      </c>
      <c r="IU18" s="656">
        <f t="shared" si="97"/>
        <v>14731875.839859605</v>
      </c>
      <c r="IV18" s="656">
        <f t="shared" si="98"/>
        <v>85603685.057272017</v>
      </c>
      <c r="IW18" s="769">
        <f t="shared" si="99"/>
        <v>220978.13759789406</v>
      </c>
      <c r="IX18" s="769">
        <f>IR18-IW18</f>
        <v>6004233.6648562104</v>
      </c>
      <c r="IY18" s="550">
        <f t="shared" si="101"/>
        <v>5.984153186737065</v>
      </c>
      <c r="IZ18" s="550">
        <f>IY18+1.5</f>
        <v>7.484153186737065</v>
      </c>
      <c r="JA18" s="769">
        <f>(IY18*IV18+IZ18*IU18)/100</f>
        <v>6225211.8024541046</v>
      </c>
      <c r="JB18" s="746">
        <f>IT18-IY18</f>
        <v>0.22023881326293537</v>
      </c>
      <c r="JF18" s="545">
        <f t="shared" si="123"/>
        <v>15</v>
      </c>
      <c r="JG18" s="761">
        <f t="shared" si="73"/>
        <v>15</v>
      </c>
      <c r="JH18" s="655" t="s">
        <v>404</v>
      </c>
      <c r="JI18" s="656">
        <f t="shared" si="105"/>
        <v>100335560.89713162</v>
      </c>
      <c r="JJ18" s="756">
        <f t="shared" si="106"/>
        <v>5.984153186737065</v>
      </c>
      <c r="JK18" s="756">
        <v>5.1894820836816677</v>
      </c>
      <c r="JL18" s="647">
        <f t="shared" si="126"/>
        <v>0.1531311006071765</v>
      </c>
      <c r="JM18" s="756">
        <f t="shared" si="108"/>
        <v>0.79467110305539723</v>
      </c>
      <c r="JN18" s="648">
        <v>10</v>
      </c>
      <c r="JS18" s="756">
        <v>5.9887880357863379</v>
      </c>
      <c r="JT18" s="756">
        <f t="shared" si="109"/>
        <v>-4.6348490492729155E-3</v>
      </c>
      <c r="JU18" s="1009">
        <v>98512295</v>
      </c>
      <c r="JV18" s="1009">
        <f t="shared" si="110"/>
        <v>-1823265.8971316218</v>
      </c>
      <c r="JW18" s="978">
        <f t="shared" si="124"/>
        <v>-7.7392103737469351E-4</v>
      </c>
      <c r="JX18" s="997">
        <v>5899692.5367385419</v>
      </c>
      <c r="JY18" s="997">
        <f t="shared" si="111"/>
        <v>6004233.6648562113</v>
      </c>
      <c r="JZ18" s="516"/>
      <c r="KA18" s="516"/>
      <c r="KB18" s="516"/>
      <c r="KC18" s="516"/>
      <c r="KE18" s="516"/>
      <c r="KF18" s="516"/>
    </row>
    <row r="19" spans="2:292" ht="16.5" x14ac:dyDescent="0.3">
      <c r="B19" s="18"/>
      <c r="I19" s="222">
        <f t="shared" si="112"/>
        <v>16</v>
      </c>
      <c r="J19" s="659">
        <f t="shared" si="1"/>
        <v>16</v>
      </c>
      <c r="K19" s="660" t="s">
        <v>405</v>
      </c>
      <c r="L19" s="991">
        <v>10404176.428424565</v>
      </c>
      <c r="M19" s="662">
        <f t="shared" si="2"/>
        <v>4.7613471782890649E-3</v>
      </c>
      <c r="N19" s="661">
        <v>284</v>
      </c>
      <c r="O19" s="661">
        <f t="shared" si="74"/>
        <v>36634.42404374847</v>
      </c>
      <c r="P19" s="662">
        <f t="shared" si="3"/>
        <v>2.062589028650445E-2</v>
      </c>
      <c r="Q19" s="663" t="s">
        <v>379</v>
      </c>
      <c r="U19" s="551">
        <f t="shared" si="113"/>
        <v>16</v>
      </c>
      <c r="V19" s="670">
        <f t="shared" si="4"/>
        <v>16</v>
      </c>
      <c r="W19" s="660" t="s">
        <v>405</v>
      </c>
      <c r="X19" s="671">
        <f t="shared" si="75"/>
        <v>1381061.3102748699</v>
      </c>
      <c r="Y19" s="662">
        <f t="shared" si="5"/>
        <v>1.430725196935986E-2</v>
      </c>
      <c r="AC19" s="551">
        <f t="shared" si="114"/>
        <v>16</v>
      </c>
      <c r="AD19" s="681">
        <v>16</v>
      </c>
      <c r="AE19" s="682" t="s">
        <v>405</v>
      </c>
      <c r="AF19" s="683">
        <v>9.5299999999999994</v>
      </c>
      <c r="AP19" s="551">
        <f t="shared" si="77"/>
        <v>16</v>
      </c>
      <c r="AQ19" s="697">
        <f t="shared" si="6"/>
        <v>16</v>
      </c>
      <c r="AR19" s="660" t="s">
        <v>405</v>
      </c>
      <c r="AS19" s="660">
        <f t="shared" si="7"/>
        <v>9.5299999999999994</v>
      </c>
      <c r="AT19" s="698">
        <f t="shared" si="78"/>
        <v>10404176.428424565</v>
      </c>
      <c r="AU19" s="698">
        <f t="shared" si="115"/>
        <v>27542.16704524614</v>
      </c>
      <c r="AV19" s="699">
        <f t="shared" si="8"/>
        <v>28441.701759069507</v>
      </c>
      <c r="AW19" s="700">
        <f t="shared" si="9"/>
        <v>21.592508896755891</v>
      </c>
      <c r="AX19" s="671">
        <f t="shared" si="125"/>
        <v>614127.69827158598</v>
      </c>
      <c r="AY19" s="465">
        <f t="shared" si="79"/>
        <v>1.4659462656882302E-2</v>
      </c>
      <c r="AZ19" s="553">
        <f t="shared" si="10"/>
        <v>5.902704</v>
      </c>
      <c r="BK19" s="222">
        <f t="shared" si="116"/>
        <v>16</v>
      </c>
      <c r="BL19" s="663">
        <f t="shared" si="11"/>
        <v>16</v>
      </c>
      <c r="BM19" s="660" t="s">
        <v>405</v>
      </c>
      <c r="BN19" s="662">
        <f t="shared" si="80"/>
        <v>1.4659462656882302E-2</v>
      </c>
      <c r="BO19" s="671">
        <f t="shared" si="81"/>
        <v>140536.05958578672</v>
      </c>
      <c r="BP19" s="662">
        <f t="shared" si="82"/>
        <v>4.7613471782890649E-3</v>
      </c>
      <c r="BQ19" s="671">
        <f t="shared" si="83"/>
        <v>45645.668358962816</v>
      </c>
      <c r="BR19" s="710">
        <f t="shared" si="12"/>
        <v>186181.72794474952</v>
      </c>
      <c r="BS19" s="711">
        <f t="shared" si="13"/>
        <v>1.78949</v>
      </c>
      <c r="BV19" s="15"/>
      <c r="BW19" s="190"/>
      <c r="BX19" s="190"/>
      <c r="BY19" s="190"/>
      <c r="BZ19" s="190"/>
      <c r="CA19" s="190"/>
      <c r="CB19" s="190"/>
      <c r="CC19" s="190"/>
      <c r="CD19" s="190"/>
      <c r="CH19" s="222">
        <f t="shared" si="117"/>
        <v>16</v>
      </c>
      <c r="CI19" s="681">
        <f t="shared" si="15"/>
        <v>16</v>
      </c>
      <c r="CJ19" s="660" t="s">
        <v>405</v>
      </c>
      <c r="CK19" s="723">
        <f t="shared" si="16"/>
        <v>4.7613471782890649E-3</v>
      </c>
      <c r="CL19" s="650">
        <f t="shared" si="17"/>
        <v>27909.773385181838</v>
      </c>
      <c r="CM19" s="723">
        <f t="shared" si="18"/>
        <v>2.062589028650445E-2</v>
      </c>
      <c r="CN19" s="650">
        <f t="shared" si="19"/>
        <v>396264.14942497626</v>
      </c>
      <c r="CO19" s="650">
        <f t="shared" si="20"/>
        <v>424173.92281015811</v>
      </c>
      <c r="CP19" s="723">
        <f t="shared" si="21"/>
        <v>1.6917074057923875E-2</v>
      </c>
      <c r="CQ19" s="724">
        <f t="shared" si="22"/>
        <v>4.0769580000000003</v>
      </c>
      <c r="DD19" s="15"/>
      <c r="DG19" s="551">
        <f t="shared" si="118"/>
        <v>16</v>
      </c>
      <c r="DH19" s="677">
        <f t="shared" si="24"/>
        <v>16</v>
      </c>
      <c r="DI19" s="660" t="s">
        <v>405</v>
      </c>
      <c r="DJ19" s="723">
        <f t="shared" si="25"/>
        <v>1.6917074057923875E-2</v>
      </c>
      <c r="DK19" s="650">
        <f t="shared" si="84"/>
        <v>6372.5727220605968</v>
      </c>
      <c r="DL19" s="723">
        <f t="shared" si="26"/>
        <v>2.062589028650445E-2</v>
      </c>
      <c r="DM19" s="650">
        <f t="shared" si="27"/>
        <v>50494.974422270643</v>
      </c>
      <c r="DN19" s="723">
        <f t="shared" si="28"/>
        <v>4.7613471782890649E-3</v>
      </c>
      <c r="DO19" s="650">
        <f t="shared" si="29"/>
        <v>16897.373657109714</v>
      </c>
      <c r="DP19" s="650">
        <f t="shared" si="85"/>
        <v>73764.920801440952</v>
      </c>
      <c r="DQ19" s="723">
        <f t="shared" si="30"/>
        <v>1.1573338447291614E-2</v>
      </c>
      <c r="DR19" s="724">
        <f t="shared" si="31"/>
        <v>0.70899299999999998</v>
      </c>
      <c r="DV19" s="551">
        <f t="shared" si="119"/>
        <v>16</v>
      </c>
      <c r="DW19" s="677">
        <f t="shared" si="32"/>
        <v>16</v>
      </c>
      <c r="DX19" s="660" t="s">
        <v>405</v>
      </c>
      <c r="DY19" s="723">
        <f t="shared" si="33"/>
        <v>2.062589028650445E-2</v>
      </c>
      <c r="DZ19" s="650">
        <f t="shared" si="34"/>
        <v>82813.040446935178</v>
      </c>
      <c r="EA19" s="724">
        <f t="shared" si="35"/>
        <v>0.79596</v>
      </c>
      <c r="EM19" s="551">
        <f t="shared" si="120"/>
        <v>16</v>
      </c>
      <c r="EN19" s="677">
        <f t="shared" si="36"/>
        <v>16</v>
      </c>
      <c r="EO19" s="660" t="s">
        <v>405</v>
      </c>
      <c r="EP19" s="723">
        <f t="shared" si="37"/>
        <v>1.430725196935986E-2</v>
      </c>
      <c r="EQ19" s="650">
        <f t="shared" si="38"/>
        <v>111994.58131724443</v>
      </c>
      <c r="ER19" s="723">
        <f t="shared" si="39"/>
        <v>1.6917074057923875E-2</v>
      </c>
      <c r="ES19" s="650">
        <f t="shared" si="40"/>
        <v>17093.693995596765</v>
      </c>
      <c r="ET19" s="723">
        <f t="shared" si="41"/>
        <v>4.7613471782890649E-3</v>
      </c>
      <c r="EU19" s="650">
        <f t="shared" si="42"/>
        <v>20366.237078843711</v>
      </c>
      <c r="EV19" s="650">
        <f t="shared" si="43"/>
        <v>149454.51239168493</v>
      </c>
      <c r="EW19" s="723">
        <f t="shared" si="44"/>
        <v>1.1395110632424871E-2</v>
      </c>
      <c r="EX19" s="724">
        <f t="shared" si="45"/>
        <v>1.4364859999999999</v>
      </c>
      <c r="FH19" s="551">
        <f t="shared" si="121"/>
        <v>16</v>
      </c>
      <c r="FI19" s="670">
        <f t="shared" si="46"/>
        <v>16</v>
      </c>
      <c r="FJ19" s="660" t="s">
        <v>405</v>
      </c>
      <c r="FK19" s="723">
        <f t="shared" si="47"/>
        <v>1.430725196935986E-2</v>
      </c>
      <c r="FL19" s="650">
        <f t="shared" si="48"/>
        <v>281069.45655160223</v>
      </c>
      <c r="FM19" s="724">
        <f t="shared" si="49"/>
        <v>2.7015060000000002</v>
      </c>
      <c r="FQ19" s="222">
        <v>16</v>
      </c>
      <c r="FR19" s="670">
        <v>16</v>
      </c>
      <c r="FS19" s="660" t="s">
        <v>405</v>
      </c>
      <c r="FT19" s="650">
        <f t="shared" si="50"/>
        <v>614127.69827158598</v>
      </c>
      <c r="FU19" s="650">
        <f t="shared" si="51"/>
        <v>186181.72794474952</v>
      </c>
      <c r="FV19" s="650">
        <f t="shared" si="52"/>
        <v>424173.92281015811</v>
      </c>
      <c r="FW19" s="650">
        <f t="shared" si="87"/>
        <v>73764.920801440952</v>
      </c>
      <c r="FX19" s="650">
        <f t="shared" si="53"/>
        <v>82813.040446935178</v>
      </c>
      <c r="FY19" s="650">
        <f t="shared" si="54"/>
        <v>149454.51239168493</v>
      </c>
      <c r="FZ19" s="650">
        <f t="shared" si="55"/>
        <v>281069.45655160223</v>
      </c>
      <c r="GA19" s="650">
        <f t="shared" si="56"/>
        <v>1811585.2792181568</v>
      </c>
      <c r="GB19" s="747">
        <f t="shared" si="57"/>
        <v>17.412096999999999</v>
      </c>
      <c r="GF19" s="551">
        <f t="shared" si="88"/>
        <v>16</v>
      </c>
      <c r="GG19" s="670">
        <f t="shared" si="58"/>
        <v>16</v>
      </c>
      <c r="GH19" s="660" t="s">
        <v>405</v>
      </c>
      <c r="GI19" s="724">
        <f t="shared" si="59"/>
        <v>5.902704</v>
      </c>
      <c r="GJ19" s="724">
        <f t="shared" si="60"/>
        <v>1.78949</v>
      </c>
      <c r="GK19" s="724">
        <f t="shared" si="61"/>
        <v>4.0769580000000003</v>
      </c>
      <c r="GL19" s="724">
        <f t="shared" si="62"/>
        <v>0.70899299999999998</v>
      </c>
      <c r="GM19" s="724">
        <f t="shared" si="63"/>
        <v>0.79596</v>
      </c>
      <c r="GN19" s="724">
        <f t="shared" si="64"/>
        <v>1.4364859999999999</v>
      </c>
      <c r="GO19" s="724">
        <f t="shared" si="65"/>
        <v>2.7015060000000002</v>
      </c>
      <c r="GP19" s="724">
        <f t="shared" si="66"/>
        <v>17.412096999999999</v>
      </c>
      <c r="GQ19" s="661">
        <f t="shared" si="89"/>
        <v>10404176.428424565</v>
      </c>
      <c r="GR19" s="530"/>
      <c r="GU19" s="222">
        <f t="shared" si="90"/>
        <v>16</v>
      </c>
      <c r="GV19" s="670">
        <f t="shared" si="67"/>
        <v>16</v>
      </c>
      <c r="GW19" s="660" t="s">
        <v>405</v>
      </c>
      <c r="GX19" s="663" t="s">
        <v>379</v>
      </c>
      <c r="GY19" s="671">
        <f t="shared" si="68"/>
        <v>1811585.2792181568</v>
      </c>
      <c r="GZ19" s="661">
        <f t="shared" si="69"/>
        <v>10404176.428424565</v>
      </c>
      <c r="HA19" s="724">
        <f t="shared" si="91"/>
        <v>17.412096999999999</v>
      </c>
      <c r="HB19" s="650">
        <f t="shared" si="70"/>
        <v>1811585.2917684207</v>
      </c>
      <c r="HC19" s="750">
        <f t="shared" si="71"/>
        <v>1.2550263898447156E-2</v>
      </c>
      <c r="HD19" s="549"/>
      <c r="HG19" s="549"/>
      <c r="HH19" s="549"/>
      <c r="HI19" s="549"/>
      <c r="HJ19" s="549"/>
      <c r="HK19" s="549"/>
      <c r="HL19" s="549"/>
      <c r="HM19" s="549"/>
      <c r="HP19" s="551">
        <f t="shared" si="122"/>
        <v>16</v>
      </c>
      <c r="HQ19" s="762">
        <f t="shared" si="72"/>
        <v>16</v>
      </c>
      <c r="HR19" s="660" t="s">
        <v>405</v>
      </c>
      <c r="HS19" s="661">
        <f t="shared" si="92"/>
        <v>10404176.428424565</v>
      </c>
      <c r="HT19" s="757">
        <f t="shared" si="93"/>
        <v>17.412096999999999</v>
      </c>
      <c r="HU19" s="757">
        <v>15.408874000000001</v>
      </c>
      <c r="HV19" s="651">
        <f t="shared" si="94"/>
        <v>0.13000450260025476</v>
      </c>
      <c r="HW19" s="757">
        <f t="shared" si="95"/>
        <v>2.0032229999999984</v>
      </c>
      <c r="HX19" s="652">
        <v>25</v>
      </c>
      <c r="IO19" s="551">
        <v>16</v>
      </c>
      <c r="IP19" s="762">
        <v>16</v>
      </c>
      <c r="IQ19" s="660" t="s">
        <v>405</v>
      </c>
      <c r="IR19" s="772">
        <f t="shared" si="96"/>
        <v>1811585.2792181568</v>
      </c>
      <c r="IS19" s="773">
        <f t="shared" si="96"/>
        <v>10404176.428424565</v>
      </c>
      <c r="IT19" s="774">
        <f t="shared" si="96"/>
        <v>17.412096999999999</v>
      </c>
      <c r="IU19" s="661">
        <f t="shared" si="97"/>
        <v>1527604.3108652856</v>
      </c>
      <c r="IV19" s="661">
        <f t="shared" si="98"/>
        <v>8876572.1175592802</v>
      </c>
      <c r="IW19" s="772">
        <f t="shared" si="99"/>
        <v>22914.064662979283</v>
      </c>
      <c r="IX19" s="772">
        <f t="shared" si="100"/>
        <v>1788671.2145551776</v>
      </c>
      <c r="IY19" s="455">
        <f t="shared" si="101"/>
        <v>17.191857778079068</v>
      </c>
      <c r="IZ19" s="555">
        <f t="shared" si="102"/>
        <v>18.691857778079068</v>
      </c>
      <c r="JA19" s="772">
        <f t="shared" si="103"/>
        <v>1811585.2792181568</v>
      </c>
      <c r="JB19" s="778">
        <f t="shared" si="104"/>
        <v>0.22023922192093082</v>
      </c>
      <c r="JF19" s="551">
        <f t="shared" si="123"/>
        <v>16</v>
      </c>
      <c r="JG19" s="762">
        <f t="shared" si="73"/>
        <v>16</v>
      </c>
      <c r="JH19" s="660" t="s">
        <v>405</v>
      </c>
      <c r="JI19" s="661">
        <f t="shared" si="105"/>
        <v>10404176.428424565</v>
      </c>
      <c r="JJ19" s="757">
        <f t="shared" si="106"/>
        <v>17.191857778079068</v>
      </c>
      <c r="JK19" s="757">
        <v>15.186640462678744</v>
      </c>
      <c r="JL19" s="651">
        <f t="shared" si="126"/>
        <v>0.13203824244922102</v>
      </c>
      <c r="JM19" s="757">
        <f t="shared" si="108"/>
        <v>2.0052173154003246</v>
      </c>
      <c r="JN19" s="652">
        <v>25</v>
      </c>
      <c r="JS19" s="757">
        <v>17.211053997305559</v>
      </c>
      <c r="JT19" s="757">
        <f t="shared" si="109"/>
        <v>-1.9196219226490285E-2</v>
      </c>
      <c r="JU19" s="1010">
        <v>10319127</v>
      </c>
      <c r="JV19" s="1010">
        <f t="shared" si="110"/>
        <v>-85049.428424565122</v>
      </c>
      <c r="JW19" s="978">
        <f t="shared" si="124"/>
        <v>-1.1153424554646979E-3</v>
      </c>
      <c r="JX19" s="997">
        <v>1776030.5200205371</v>
      </c>
      <c r="JY19" s="997">
        <f t="shared" si="111"/>
        <v>1788671.2145551776</v>
      </c>
      <c r="JZ19" s="516"/>
      <c r="KA19" s="516"/>
      <c r="KB19" s="516"/>
      <c r="KC19" s="516"/>
      <c r="KE19" s="516"/>
      <c r="KF19" s="516"/>
    </row>
    <row r="20" spans="2:292" ht="16.5" x14ac:dyDescent="0.3">
      <c r="I20" s="543">
        <f t="shared" si="112"/>
        <v>17</v>
      </c>
      <c r="J20" s="654">
        <f t="shared" si="1"/>
        <v>17</v>
      </c>
      <c r="K20" s="655" t="s">
        <v>406</v>
      </c>
      <c r="L20" s="991">
        <v>544970593.69171178</v>
      </c>
      <c r="M20" s="657">
        <f t="shared" si="2"/>
        <v>0.24939928848529347</v>
      </c>
      <c r="N20" s="656">
        <v>1263</v>
      </c>
      <c r="O20" s="656">
        <f t="shared" si="74"/>
        <v>431488.98946295469</v>
      </c>
      <c r="P20" s="657">
        <f t="shared" si="3"/>
        <v>0.24293665831539951</v>
      </c>
      <c r="Q20" s="658" t="s">
        <v>379</v>
      </c>
      <c r="U20" s="545">
        <f t="shared" si="113"/>
        <v>17</v>
      </c>
      <c r="V20" s="669">
        <f t="shared" si="4"/>
        <v>17</v>
      </c>
      <c r="W20" s="655" t="s">
        <v>406</v>
      </c>
      <c r="X20" s="646">
        <f t="shared" si="75"/>
        <v>21893387.504309457</v>
      </c>
      <c r="Y20" s="657">
        <f t="shared" si="5"/>
        <v>0.22680688334151336</v>
      </c>
      <c r="AC20" s="545">
        <f t="shared" si="114"/>
        <v>17</v>
      </c>
      <c r="AD20" s="678">
        <v>17</v>
      </c>
      <c r="AE20" s="679" t="s">
        <v>406</v>
      </c>
      <c r="AF20" s="680">
        <v>2.61</v>
      </c>
      <c r="AP20" s="545">
        <f t="shared" si="77"/>
        <v>17</v>
      </c>
      <c r="AQ20" s="693">
        <f t="shared" si="6"/>
        <v>17</v>
      </c>
      <c r="AR20" s="655" t="s">
        <v>406</v>
      </c>
      <c r="AS20" s="655">
        <f t="shared" si="7"/>
        <v>2.61</v>
      </c>
      <c r="AT20" s="694">
        <f t="shared" si="78"/>
        <v>544970593.69171178</v>
      </c>
      <c r="AU20" s="694">
        <f t="shared" si="115"/>
        <v>395103.68042649102</v>
      </c>
      <c r="AV20" s="695">
        <f t="shared" si="8"/>
        <v>408007.87476672349</v>
      </c>
      <c r="AW20" s="696">
        <f t="shared" si="9"/>
        <v>21.592508896755891</v>
      </c>
      <c r="AX20" s="646">
        <f t="shared" si="125"/>
        <v>8809913.6658469401</v>
      </c>
      <c r="AY20" s="544">
        <f t="shared" si="79"/>
        <v>0.21029600319008382</v>
      </c>
      <c r="AZ20" s="548">
        <f t="shared" si="10"/>
        <v>1.6165849999999999</v>
      </c>
      <c r="BK20" s="543">
        <f t="shared" si="116"/>
        <v>17</v>
      </c>
      <c r="BL20" s="658">
        <f t="shared" si="11"/>
        <v>17</v>
      </c>
      <c r="BM20" s="655" t="s">
        <v>406</v>
      </c>
      <c r="BN20" s="657">
        <f t="shared" si="80"/>
        <v>0.21029600319008382</v>
      </c>
      <c r="BO20" s="646">
        <f t="shared" si="81"/>
        <v>2016047.4041044996</v>
      </c>
      <c r="BP20" s="657">
        <f t="shared" si="82"/>
        <v>0.24939928848529347</v>
      </c>
      <c r="BQ20" s="646">
        <f t="shared" si="83"/>
        <v>2390919.3732122909</v>
      </c>
      <c r="BR20" s="708">
        <f t="shared" si="12"/>
        <v>4406966.7773167901</v>
      </c>
      <c r="BS20" s="709">
        <f t="shared" si="13"/>
        <v>0.80866099999999996</v>
      </c>
      <c r="BV20" s="15"/>
      <c r="BW20" s="190"/>
      <c r="BX20" s="190"/>
      <c r="BY20" s="190"/>
      <c r="BZ20" s="190"/>
      <c r="CA20" s="190"/>
      <c r="CB20" s="190"/>
      <c r="CC20" s="190"/>
      <c r="CD20" s="190"/>
      <c r="CH20" s="543">
        <f t="shared" si="117"/>
        <v>17</v>
      </c>
      <c r="CI20" s="678">
        <f t="shared" si="15"/>
        <v>17</v>
      </c>
      <c r="CJ20" s="655" t="s">
        <v>406</v>
      </c>
      <c r="CK20" s="657">
        <f t="shared" si="16"/>
        <v>0.24939928848529347</v>
      </c>
      <c r="CL20" s="646">
        <f t="shared" si="17"/>
        <v>1461913.4802413988</v>
      </c>
      <c r="CM20" s="657">
        <f t="shared" si="18"/>
        <v>0.24293665831539951</v>
      </c>
      <c r="CN20" s="646">
        <f t="shared" si="19"/>
        <v>4667293.7232913319</v>
      </c>
      <c r="CO20" s="646">
        <f t="shared" si="20"/>
        <v>6129207.2035327312</v>
      </c>
      <c r="CP20" s="657">
        <f t="shared" si="21"/>
        <v>0.24444749335741245</v>
      </c>
      <c r="CQ20" s="709">
        <f t="shared" si="22"/>
        <v>1.1246860000000001</v>
      </c>
      <c r="DD20" s="15"/>
      <c r="DG20" s="545">
        <f t="shared" si="118"/>
        <v>17</v>
      </c>
      <c r="DH20" s="739">
        <f t="shared" si="24"/>
        <v>17</v>
      </c>
      <c r="DI20" s="655" t="s">
        <v>406</v>
      </c>
      <c r="DJ20" s="657">
        <f t="shared" si="25"/>
        <v>0.24444749335741245</v>
      </c>
      <c r="DK20" s="646">
        <f t="shared" si="84"/>
        <v>92082.083628160777</v>
      </c>
      <c r="DL20" s="657">
        <f t="shared" si="26"/>
        <v>0.24293665831539951</v>
      </c>
      <c r="DM20" s="646">
        <f t="shared" si="27"/>
        <v>594741.85974383703</v>
      </c>
      <c r="DN20" s="657">
        <f t="shared" si="28"/>
        <v>0.24939928848529347</v>
      </c>
      <c r="DO20" s="646">
        <f t="shared" si="29"/>
        <v>885084.15991367085</v>
      </c>
      <c r="DP20" s="646">
        <f t="shared" si="85"/>
        <v>1571908.1032856687</v>
      </c>
      <c r="DQ20" s="657">
        <f t="shared" si="30"/>
        <v>0.24662433430023953</v>
      </c>
      <c r="DR20" s="709">
        <f t="shared" si="31"/>
        <v>0.288439</v>
      </c>
      <c r="DV20" s="545">
        <f t="shared" si="119"/>
        <v>17</v>
      </c>
      <c r="DW20" s="739">
        <f t="shared" si="32"/>
        <v>17</v>
      </c>
      <c r="DX20" s="655" t="s">
        <v>406</v>
      </c>
      <c r="DY20" s="657">
        <f t="shared" si="33"/>
        <v>0.24293665831539951</v>
      </c>
      <c r="DZ20" s="646">
        <f t="shared" si="34"/>
        <v>975391.75432732224</v>
      </c>
      <c r="EA20" s="709">
        <f t="shared" si="35"/>
        <v>0.178981</v>
      </c>
      <c r="EM20" s="545">
        <f t="shared" si="120"/>
        <v>17</v>
      </c>
      <c r="EN20" s="739">
        <f t="shared" si="36"/>
        <v>17</v>
      </c>
      <c r="EO20" s="655" t="s">
        <v>406</v>
      </c>
      <c r="EP20" s="657">
        <f t="shared" si="37"/>
        <v>0.22680688334151336</v>
      </c>
      <c r="EQ20" s="646">
        <f t="shared" si="38"/>
        <v>1775403.2706001471</v>
      </c>
      <c r="ER20" s="657">
        <f t="shared" si="39"/>
        <v>0.24444749335741245</v>
      </c>
      <c r="ES20" s="646">
        <f t="shared" si="40"/>
        <v>246999.60732778651</v>
      </c>
      <c r="ET20" s="657">
        <f t="shared" si="41"/>
        <v>0.24939928848529347</v>
      </c>
      <c r="EU20" s="646">
        <f t="shared" si="42"/>
        <v>1066783.1700547449</v>
      </c>
      <c r="EV20" s="646">
        <f t="shared" si="43"/>
        <v>3089186.0479826787</v>
      </c>
      <c r="EW20" s="657">
        <f t="shared" si="44"/>
        <v>0.2355339843379963</v>
      </c>
      <c r="EX20" s="709">
        <f t="shared" si="45"/>
        <v>0.56685399999999997</v>
      </c>
      <c r="FH20" s="545">
        <f t="shared" si="121"/>
        <v>17</v>
      </c>
      <c r="FI20" s="669">
        <f t="shared" si="46"/>
        <v>17</v>
      </c>
      <c r="FJ20" s="655" t="s">
        <v>406</v>
      </c>
      <c r="FK20" s="657">
        <f t="shared" si="47"/>
        <v>0.22680688334151336</v>
      </c>
      <c r="FL20" s="646">
        <f t="shared" si="48"/>
        <v>4455676.5743333772</v>
      </c>
      <c r="FM20" s="709">
        <f t="shared" si="49"/>
        <v>0.81759899999999996</v>
      </c>
      <c r="FQ20" s="543">
        <v>17</v>
      </c>
      <c r="FR20" s="669">
        <v>17</v>
      </c>
      <c r="FS20" s="655" t="s">
        <v>406</v>
      </c>
      <c r="FT20" s="646">
        <f t="shared" si="50"/>
        <v>8809913.6658469401</v>
      </c>
      <c r="FU20" s="646">
        <f t="shared" si="51"/>
        <v>4406966.7773167901</v>
      </c>
      <c r="FV20" s="646">
        <f t="shared" si="52"/>
        <v>6129207.2035327312</v>
      </c>
      <c r="FW20" s="646">
        <f t="shared" si="87"/>
        <v>1571908.1032856687</v>
      </c>
      <c r="FX20" s="646">
        <f t="shared" si="53"/>
        <v>975391.75432732224</v>
      </c>
      <c r="FY20" s="646">
        <f t="shared" si="54"/>
        <v>3089186.0479826787</v>
      </c>
      <c r="FZ20" s="646">
        <f t="shared" si="55"/>
        <v>4455676.5743333772</v>
      </c>
      <c r="GA20" s="646">
        <f t="shared" si="56"/>
        <v>29438250.126625512</v>
      </c>
      <c r="GB20" s="746">
        <f t="shared" si="57"/>
        <v>5.4018050000000004</v>
      </c>
      <c r="GF20" s="545">
        <f t="shared" si="88"/>
        <v>17</v>
      </c>
      <c r="GG20" s="669">
        <f t="shared" si="58"/>
        <v>17</v>
      </c>
      <c r="GH20" s="655" t="s">
        <v>406</v>
      </c>
      <c r="GI20" s="709">
        <f t="shared" si="59"/>
        <v>1.6165849999999999</v>
      </c>
      <c r="GJ20" s="709">
        <f t="shared" si="60"/>
        <v>0.80866099999999996</v>
      </c>
      <c r="GK20" s="709">
        <f t="shared" si="61"/>
        <v>1.1246860000000001</v>
      </c>
      <c r="GL20" s="709">
        <f t="shared" si="62"/>
        <v>0.288439</v>
      </c>
      <c r="GM20" s="709">
        <f t="shared" si="63"/>
        <v>0.178981</v>
      </c>
      <c r="GN20" s="709">
        <f t="shared" si="64"/>
        <v>0.56685399999999997</v>
      </c>
      <c r="GO20" s="709">
        <f t="shared" si="65"/>
        <v>0.81759899999999996</v>
      </c>
      <c r="GP20" s="709">
        <f t="shared" si="66"/>
        <v>5.4018050000000004</v>
      </c>
      <c r="GQ20" s="656">
        <f t="shared" si="89"/>
        <v>544970593.69171178</v>
      </c>
      <c r="GR20" s="530"/>
      <c r="GU20" s="543">
        <f t="shared" si="90"/>
        <v>17</v>
      </c>
      <c r="GV20" s="669">
        <f t="shared" si="67"/>
        <v>17</v>
      </c>
      <c r="GW20" s="655" t="s">
        <v>406</v>
      </c>
      <c r="GX20" s="658" t="s">
        <v>379</v>
      </c>
      <c r="GY20" s="646">
        <f t="shared" si="68"/>
        <v>29438250.126625512</v>
      </c>
      <c r="GZ20" s="656">
        <f t="shared" si="69"/>
        <v>544970593.69171178</v>
      </c>
      <c r="HA20" s="709">
        <f t="shared" si="91"/>
        <v>5.4018050000000004</v>
      </c>
      <c r="HB20" s="646">
        <f t="shared" si="70"/>
        <v>29438248.778568573</v>
      </c>
      <c r="HC20" s="749">
        <f t="shared" si="71"/>
        <v>-1.3480569384992123</v>
      </c>
      <c r="HD20" s="549"/>
      <c r="HG20" s="549"/>
      <c r="HH20" s="549"/>
      <c r="HI20" s="549"/>
      <c r="HJ20" s="549"/>
      <c r="HK20" s="549"/>
      <c r="HL20" s="549"/>
      <c r="HM20" s="549"/>
      <c r="HP20" s="545">
        <f t="shared" si="122"/>
        <v>17</v>
      </c>
      <c r="HQ20" s="761">
        <f t="shared" si="72"/>
        <v>17</v>
      </c>
      <c r="HR20" s="655" t="s">
        <v>406</v>
      </c>
      <c r="HS20" s="656">
        <f t="shared" si="92"/>
        <v>544970593.69171178</v>
      </c>
      <c r="HT20" s="756">
        <f t="shared" si="93"/>
        <v>5.4018050000000004</v>
      </c>
      <c r="HU20" s="756">
        <v>4.7273310000000004</v>
      </c>
      <c r="HV20" s="647">
        <f t="shared" si="94"/>
        <v>0.1426754335585978</v>
      </c>
      <c r="HW20" s="756">
        <f t="shared" si="95"/>
        <v>0.67447400000000002</v>
      </c>
      <c r="HX20" s="648">
        <v>10</v>
      </c>
      <c r="IO20" s="545">
        <v>17</v>
      </c>
      <c r="IP20" s="761">
        <v>17</v>
      </c>
      <c r="IQ20" s="655" t="s">
        <v>406</v>
      </c>
      <c r="IR20" s="769">
        <f t="shared" si="96"/>
        <v>29438250.126625512</v>
      </c>
      <c r="IS20" s="770">
        <f t="shared" si="96"/>
        <v>544970593.69171178</v>
      </c>
      <c r="IT20" s="771">
        <f t="shared" si="96"/>
        <v>5.4018050000000004</v>
      </c>
      <c r="IU20" s="656">
        <f t="shared" si="97"/>
        <v>80015889.190792277</v>
      </c>
      <c r="IV20" s="656">
        <f t="shared" si="98"/>
        <v>464954704.50091952</v>
      </c>
      <c r="IW20" s="769">
        <f t="shared" si="99"/>
        <v>1200238.3378618842</v>
      </c>
      <c r="IX20" s="769">
        <f t="shared" si="100"/>
        <v>28238011.788763627</v>
      </c>
      <c r="IY20" s="550">
        <f t="shared" si="101"/>
        <v>5.1815661460694855</v>
      </c>
      <c r="IZ20" s="550">
        <f t="shared" si="102"/>
        <v>6.6815661460694855</v>
      </c>
      <c r="JA20" s="769">
        <f t="shared" si="103"/>
        <v>29438250.126625508</v>
      </c>
      <c r="JB20" s="746">
        <f t="shared" si="104"/>
        <v>0.2202388539305149</v>
      </c>
      <c r="JF20" s="545">
        <f t="shared" si="123"/>
        <v>17</v>
      </c>
      <c r="JG20" s="761">
        <f t="shared" si="73"/>
        <v>17</v>
      </c>
      <c r="JH20" s="655" t="s">
        <v>406</v>
      </c>
      <c r="JI20" s="656">
        <f t="shared" si="105"/>
        <v>544970593.69171178</v>
      </c>
      <c r="JJ20" s="756">
        <f t="shared" si="106"/>
        <v>5.1815661460694855</v>
      </c>
      <c r="JK20" s="756">
        <v>4.505097789107122</v>
      </c>
      <c r="JL20" s="647">
        <f t="shared" si="126"/>
        <v>0.15015619829562787</v>
      </c>
      <c r="JM20" s="756">
        <f t="shared" si="108"/>
        <v>0.67646835696236352</v>
      </c>
      <c r="JN20" s="648">
        <v>10</v>
      </c>
      <c r="JS20" s="756">
        <v>5.1865792670674784</v>
      </c>
      <c r="JT20" s="756">
        <f t="shared" si="109"/>
        <v>-5.0131209979928926E-3</v>
      </c>
      <c r="JU20" s="1009">
        <v>537876661</v>
      </c>
      <c r="JV20" s="1009">
        <f t="shared" si="110"/>
        <v>-7093932.6917117834</v>
      </c>
      <c r="JW20" s="978">
        <f t="shared" si="124"/>
        <v>-9.6655632544247986E-4</v>
      </c>
      <c r="JX20" s="997">
        <v>27897399.381820828</v>
      </c>
      <c r="JY20" s="997">
        <f t="shared" si="111"/>
        <v>28238011.788763624</v>
      </c>
      <c r="JZ20" s="516"/>
      <c r="KA20" s="516"/>
      <c r="KB20" s="516"/>
      <c r="KC20" s="516"/>
      <c r="KE20" s="516"/>
      <c r="KF20" s="516"/>
    </row>
    <row r="21" spans="2:292" ht="16.5" x14ac:dyDescent="0.3">
      <c r="I21" s="222">
        <f t="shared" si="112"/>
        <v>18</v>
      </c>
      <c r="J21" s="659">
        <f t="shared" si="1"/>
        <v>18</v>
      </c>
      <c r="K21" s="660" t="s">
        <v>407</v>
      </c>
      <c r="L21" s="991">
        <v>53886865.795532204</v>
      </c>
      <c r="M21" s="662">
        <f t="shared" si="2"/>
        <v>2.4660681041646856E-2</v>
      </c>
      <c r="N21" s="661">
        <v>354</v>
      </c>
      <c r="O21" s="661">
        <f t="shared" si="74"/>
        <v>152222.78473314183</v>
      </c>
      <c r="P21" s="662">
        <f t="shared" si="3"/>
        <v>8.5704376115277064E-2</v>
      </c>
      <c r="Q21" s="663" t="s">
        <v>379</v>
      </c>
      <c r="U21" s="551">
        <f t="shared" si="113"/>
        <v>18</v>
      </c>
      <c r="V21" s="670">
        <f t="shared" si="4"/>
        <v>18</v>
      </c>
      <c r="W21" s="660" t="s">
        <v>407</v>
      </c>
      <c r="X21" s="671">
        <f t="shared" si="75"/>
        <v>6165679.1725430787</v>
      </c>
      <c r="Y21" s="662">
        <f t="shared" si="5"/>
        <v>6.3874011115589782E-2</v>
      </c>
      <c r="AC21" s="551">
        <f t="shared" si="114"/>
        <v>18</v>
      </c>
      <c r="AD21" s="681">
        <v>18</v>
      </c>
      <c r="AE21" s="682" t="s">
        <v>407</v>
      </c>
      <c r="AF21" s="683">
        <v>8.4600000000000009</v>
      </c>
      <c r="AP21" s="551">
        <f t="shared" si="77"/>
        <v>18</v>
      </c>
      <c r="AQ21" s="697">
        <f t="shared" si="6"/>
        <v>18</v>
      </c>
      <c r="AR21" s="660" t="s">
        <v>407</v>
      </c>
      <c r="AS21" s="660">
        <f t="shared" si="7"/>
        <v>8.4600000000000009</v>
      </c>
      <c r="AT21" s="698">
        <f t="shared" si="78"/>
        <v>53886865.795532204</v>
      </c>
      <c r="AU21" s="698">
        <f>AT21*AS21/3600</f>
        <v>126634.13461950069</v>
      </c>
      <c r="AV21" s="699">
        <f t="shared" si="8"/>
        <v>130770.04011517532</v>
      </c>
      <c r="AW21" s="700">
        <f t="shared" si="9"/>
        <v>21.592508896755891</v>
      </c>
      <c r="AX21" s="671">
        <f t="shared" si="125"/>
        <v>2823653.2546160477</v>
      </c>
      <c r="AY21" s="465">
        <f t="shared" si="79"/>
        <v>6.7401681374290937E-2</v>
      </c>
      <c r="AZ21" s="553">
        <f t="shared" si="10"/>
        <v>5.2399659999999999</v>
      </c>
      <c r="BK21" s="222">
        <f t="shared" si="116"/>
        <v>18</v>
      </c>
      <c r="BL21" s="663">
        <f t="shared" si="11"/>
        <v>18</v>
      </c>
      <c r="BM21" s="660" t="s">
        <v>407</v>
      </c>
      <c r="BN21" s="662">
        <f t="shared" si="80"/>
        <v>6.7401681374290937E-2</v>
      </c>
      <c r="BO21" s="671">
        <f t="shared" si="81"/>
        <v>646160.56751251314</v>
      </c>
      <c r="BP21" s="662">
        <f t="shared" si="82"/>
        <v>2.4660681041646856E-2</v>
      </c>
      <c r="BQ21" s="671">
        <f t="shared" si="83"/>
        <v>236414.8687720068</v>
      </c>
      <c r="BR21" s="710">
        <f t="shared" si="12"/>
        <v>882575.43628451996</v>
      </c>
      <c r="BS21" s="711">
        <f t="shared" si="13"/>
        <v>1.6378299999999999</v>
      </c>
      <c r="BV21" s="15"/>
      <c r="BW21" s="190"/>
      <c r="BX21" s="190"/>
      <c r="BY21" s="190"/>
      <c r="BZ21" s="190"/>
      <c r="CA21" s="190"/>
      <c r="CB21" s="190"/>
      <c r="CC21" s="190"/>
      <c r="CD21" s="190"/>
      <c r="CH21" s="222">
        <f t="shared" si="117"/>
        <v>18</v>
      </c>
      <c r="CI21" s="681">
        <f t="shared" si="15"/>
        <v>18</v>
      </c>
      <c r="CJ21" s="660" t="s">
        <v>407</v>
      </c>
      <c r="CK21" s="723">
        <f t="shared" si="16"/>
        <v>2.4660681041646856E-2</v>
      </c>
      <c r="CL21" s="650">
        <f t="shared" si="17"/>
        <v>144554.47032617711</v>
      </c>
      <c r="CM21" s="723">
        <f t="shared" si="18"/>
        <v>8.5704376115277064E-2</v>
      </c>
      <c r="CN21" s="650">
        <f t="shared" si="19"/>
        <v>1646550.5843177894</v>
      </c>
      <c r="CO21" s="650">
        <f t="shared" si="20"/>
        <v>1791105.0546439665</v>
      </c>
      <c r="CP21" s="723">
        <f t="shared" si="21"/>
        <v>7.1433568226434443E-2</v>
      </c>
      <c r="CQ21" s="724">
        <f t="shared" si="22"/>
        <v>3.3238249999999998</v>
      </c>
      <c r="DD21" s="15"/>
      <c r="DG21" s="551">
        <f t="shared" si="118"/>
        <v>18</v>
      </c>
      <c r="DH21" s="677">
        <f t="shared" si="24"/>
        <v>18</v>
      </c>
      <c r="DI21" s="660" t="s">
        <v>407</v>
      </c>
      <c r="DJ21" s="723">
        <f t="shared" si="25"/>
        <v>7.1433568226434443E-2</v>
      </c>
      <c r="DK21" s="650">
        <f t="shared" si="84"/>
        <v>26908.649022908896</v>
      </c>
      <c r="DL21" s="723">
        <f t="shared" si="26"/>
        <v>8.5704376115277064E-2</v>
      </c>
      <c r="DM21" s="650">
        <f t="shared" si="27"/>
        <v>209815.92647417309</v>
      </c>
      <c r="DN21" s="723">
        <f t="shared" si="28"/>
        <v>2.4660681041646856E-2</v>
      </c>
      <c r="DO21" s="650">
        <f t="shared" si="29"/>
        <v>87517.403498655418</v>
      </c>
      <c r="DP21" s="650">
        <f t="shared" si="85"/>
        <v>324241.97899573739</v>
      </c>
      <c r="DQ21" s="723">
        <f t="shared" si="30"/>
        <v>5.0871906605015747E-2</v>
      </c>
      <c r="DR21" s="724">
        <f t="shared" si="31"/>
        <v>0.60170900000000005</v>
      </c>
      <c r="DV21" s="551">
        <f t="shared" si="119"/>
        <v>18</v>
      </c>
      <c r="DW21" s="677">
        <f t="shared" si="32"/>
        <v>18</v>
      </c>
      <c r="DX21" s="660" t="s">
        <v>407</v>
      </c>
      <c r="DY21" s="723">
        <f t="shared" si="33"/>
        <v>8.5704376115277064E-2</v>
      </c>
      <c r="DZ21" s="650">
        <f t="shared" si="34"/>
        <v>344103.44800280692</v>
      </c>
      <c r="EA21" s="724">
        <f t="shared" si="35"/>
        <v>0.63856599999999997</v>
      </c>
      <c r="EM21" s="551">
        <f t="shared" si="120"/>
        <v>18</v>
      </c>
      <c r="EN21" s="677">
        <f t="shared" si="36"/>
        <v>18</v>
      </c>
      <c r="EO21" s="660" t="s">
        <v>407</v>
      </c>
      <c r="EP21" s="723">
        <f t="shared" si="37"/>
        <v>6.3874011115589782E-2</v>
      </c>
      <c r="EQ21" s="650">
        <f t="shared" si="38"/>
        <v>499994.2090391214</v>
      </c>
      <c r="ER21" s="723">
        <f t="shared" si="39"/>
        <v>7.1433568226434443E-2</v>
      </c>
      <c r="ES21" s="650">
        <f t="shared" si="40"/>
        <v>72179.358681965095</v>
      </c>
      <c r="ET21" s="723">
        <f t="shared" si="41"/>
        <v>2.4660681041646856E-2</v>
      </c>
      <c r="EU21" s="650">
        <f t="shared" si="42"/>
        <v>105483.85946525377</v>
      </c>
      <c r="EV21" s="650">
        <f t="shared" si="43"/>
        <v>677657.42718634033</v>
      </c>
      <c r="EW21" s="723">
        <f t="shared" si="44"/>
        <v>5.1667769879274461E-2</v>
      </c>
      <c r="EX21" s="724">
        <f t="shared" si="45"/>
        <v>1.2575559999999999</v>
      </c>
      <c r="FH21" s="551">
        <f t="shared" si="121"/>
        <v>18</v>
      </c>
      <c r="FI21" s="670">
        <f t="shared" si="46"/>
        <v>18</v>
      </c>
      <c r="FJ21" s="660" t="s">
        <v>407</v>
      </c>
      <c r="FK21" s="723">
        <f t="shared" si="47"/>
        <v>6.3874011115589782E-2</v>
      </c>
      <c r="FL21" s="650">
        <f t="shared" si="48"/>
        <v>1254820.5364997904</v>
      </c>
      <c r="FM21" s="724">
        <f t="shared" si="49"/>
        <v>2.3286199999999999</v>
      </c>
      <c r="FQ21" s="222">
        <v>18</v>
      </c>
      <c r="FR21" s="670">
        <v>18</v>
      </c>
      <c r="FS21" s="660" t="s">
        <v>407</v>
      </c>
      <c r="FT21" s="650">
        <f t="shared" si="50"/>
        <v>2823653.2546160477</v>
      </c>
      <c r="FU21" s="650">
        <f t="shared" si="51"/>
        <v>882575.43628451996</v>
      </c>
      <c r="FV21" s="650">
        <f t="shared" si="52"/>
        <v>1791105.0546439665</v>
      </c>
      <c r="FW21" s="650">
        <f t="shared" si="87"/>
        <v>324241.97899573739</v>
      </c>
      <c r="FX21" s="650">
        <f t="shared" si="53"/>
        <v>344103.44800280692</v>
      </c>
      <c r="FY21" s="650">
        <f t="shared" si="54"/>
        <v>677657.42718634033</v>
      </c>
      <c r="FZ21" s="650">
        <f t="shared" si="55"/>
        <v>1254820.5364997904</v>
      </c>
      <c r="GA21" s="650">
        <f t="shared" si="56"/>
        <v>8098157.1362292096</v>
      </c>
      <c r="GB21" s="747">
        <f t="shared" si="57"/>
        <v>15.028072</v>
      </c>
      <c r="GF21" s="551">
        <f t="shared" si="88"/>
        <v>18</v>
      </c>
      <c r="GG21" s="670">
        <f t="shared" si="58"/>
        <v>18</v>
      </c>
      <c r="GH21" s="660" t="s">
        <v>407</v>
      </c>
      <c r="GI21" s="724">
        <f t="shared" si="59"/>
        <v>5.2399659999999999</v>
      </c>
      <c r="GJ21" s="724">
        <f t="shared" si="60"/>
        <v>1.6378299999999999</v>
      </c>
      <c r="GK21" s="724">
        <f t="shared" si="61"/>
        <v>3.3238249999999998</v>
      </c>
      <c r="GL21" s="724">
        <f t="shared" si="62"/>
        <v>0.60170900000000005</v>
      </c>
      <c r="GM21" s="724">
        <f t="shared" si="63"/>
        <v>0.63856599999999997</v>
      </c>
      <c r="GN21" s="724">
        <f t="shared" si="64"/>
        <v>1.2575559999999999</v>
      </c>
      <c r="GO21" s="724">
        <f t="shared" si="65"/>
        <v>2.3286199999999999</v>
      </c>
      <c r="GP21" s="724">
        <f t="shared" si="66"/>
        <v>15.028072</v>
      </c>
      <c r="GQ21" s="661">
        <f t="shared" si="89"/>
        <v>53886865.795532204</v>
      </c>
      <c r="GR21" s="530"/>
      <c r="GU21" s="222">
        <f t="shared" si="90"/>
        <v>18</v>
      </c>
      <c r="GV21" s="670">
        <f t="shared" si="67"/>
        <v>18</v>
      </c>
      <c r="GW21" s="660" t="s">
        <v>407</v>
      </c>
      <c r="GX21" s="663" t="s">
        <v>379</v>
      </c>
      <c r="GY21" s="671">
        <f t="shared" si="68"/>
        <v>8098157.1362292096</v>
      </c>
      <c r="GZ21" s="661">
        <f t="shared" si="69"/>
        <v>53886865.795532204</v>
      </c>
      <c r="HA21" s="724">
        <f t="shared" si="91"/>
        <v>15.028072</v>
      </c>
      <c r="HB21" s="650">
        <f t="shared" si="70"/>
        <v>8098156.9902959522</v>
      </c>
      <c r="HC21" s="750">
        <f t="shared" si="71"/>
        <v>-0.14593325741589069</v>
      </c>
      <c r="HD21" s="549"/>
      <c r="HG21" s="549"/>
      <c r="HH21" s="549"/>
      <c r="HI21" s="549"/>
      <c r="HJ21" s="549"/>
      <c r="HK21" s="549"/>
      <c r="HL21" s="549"/>
      <c r="HM21" s="549"/>
      <c r="HP21" s="551">
        <f t="shared" si="122"/>
        <v>18</v>
      </c>
      <c r="HQ21" s="762">
        <f t="shared" si="72"/>
        <v>18</v>
      </c>
      <c r="HR21" s="660" t="s">
        <v>407</v>
      </c>
      <c r="HS21" s="661">
        <f t="shared" si="92"/>
        <v>53886865.795532204</v>
      </c>
      <c r="HT21" s="757">
        <f t="shared" si="93"/>
        <v>15.028072</v>
      </c>
      <c r="HU21" s="757">
        <v>13.268026000000001</v>
      </c>
      <c r="HV21" s="651">
        <f t="shared" si="94"/>
        <v>0.13265319196691339</v>
      </c>
      <c r="HW21" s="757">
        <f t="shared" si="95"/>
        <v>1.7600459999999991</v>
      </c>
      <c r="HX21" s="652">
        <v>25</v>
      </c>
      <c r="IO21" s="551">
        <v>18</v>
      </c>
      <c r="IP21" s="762">
        <v>18</v>
      </c>
      <c r="IQ21" s="660" t="s">
        <v>407</v>
      </c>
      <c r="IR21" s="772">
        <f t="shared" si="96"/>
        <v>8098157.1362292096</v>
      </c>
      <c r="IS21" s="773">
        <f t="shared" si="96"/>
        <v>53886865.795532204</v>
      </c>
      <c r="IT21" s="774">
        <f t="shared" si="96"/>
        <v>15.028072</v>
      </c>
      <c r="IU21" s="661">
        <f t="shared" si="97"/>
        <v>7911996.5962302443</v>
      </c>
      <c r="IV21" s="661">
        <f t="shared" si="98"/>
        <v>45974869.199301958</v>
      </c>
      <c r="IW21" s="772">
        <f t="shared" si="99"/>
        <v>118679.94894345367</v>
      </c>
      <c r="IX21" s="772">
        <f t="shared" si="100"/>
        <v>7979477.1872857558</v>
      </c>
      <c r="IY21" s="455">
        <f t="shared" si="101"/>
        <v>14.807833169520389</v>
      </c>
      <c r="IZ21" s="555">
        <f t="shared" si="102"/>
        <v>16.307833169520389</v>
      </c>
      <c r="JA21" s="772">
        <f t="shared" si="103"/>
        <v>8098157.1362292077</v>
      </c>
      <c r="JB21" s="778">
        <f t="shared" si="104"/>
        <v>0.22023883047961057</v>
      </c>
      <c r="JF21" s="551">
        <f t="shared" si="123"/>
        <v>18</v>
      </c>
      <c r="JG21" s="762">
        <f t="shared" si="73"/>
        <v>18</v>
      </c>
      <c r="JH21" s="660" t="s">
        <v>407</v>
      </c>
      <c r="JI21" s="661">
        <f t="shared" si="105"/>
        <v>53886865.795532204</v>
      </c>
      <c r="JJ21" s="757">
        <f t="shared" si="106"/>
        <v>14.807833169520389</v>
      </c>
      <c r="JK21" s="757">
        <v>13.045793174517087</v>
      </c>
      <c r="JL21" s="651">
        <f t="shared" si="126"/>
        <v>0.13506576192279152</v>
      </c>
      <c r="JM21" s="757">
        <f t="shared" si="108"/>
        <v>1.7620399950033026</v>
      </c>
      <c r="JN21" s="652">
        <v>25</v>
      </c>
      <c r="JS21" s="757">
        <v>14.823653001508386</v>
      </c>
      <c r="JT21" s="757">
        <f t="shared" si="109"/>
        <v>-1.581983198799719E-2</v>
      </c>
      <c r="JU21" s="1010">
        <v>54037187</v>
      </c>
      <c r="JV21" s="1010">
        <f t="shared" si="110"/>
        <v>150321.20446779579</v>
      </c>
      <c r="JW21" s="978">
        <f t="shared" si="124"/>
        <v>-1.0672019903857327E-3</v>
      </c>
      <c r="JX21" s="997">
        <v>8010285.0926561998</v>
      </c>
      <c r="JY21" s="997">
        <f t="shared" si="111"/>
        <v>7979477.1872857548</v>
      </c>
      <c r="JZ21" s="516"/>
      <c r="KA21" s="516"/>
      <c r="KB21" s="516"/>
      <c r="KC21" s="516"/>
      <c r="KE21" s="516"/>
      <c r="KF21" s="516"/>
    </row>
    <row r="22" spans="2:292" ht="16.5" x14ac:dyDescent="0.3">
      <c r="I22" s="543">
        <v>19</v>
      </c>
      <c r="J22" s="654">
        <f t="shared" si="1"/>
        <v>19</v>
      </c>
      <c r="K22" s="655" t="s">
        <v>408</v>
      </c>
      <c r="L22" s="991">
        <v>1349.4811125848451</v>
      </c>
      <c r="M22" s="657">
        <f t="shared" si="2"/>
        <v>6.1757392637114166E-7</v>
      </c>
      <c r="N22" s="656">
        <v>25</v>
      </c>
      <c r="O22" s="656">
        <f t="shared" si="74"/>
        <v>53.979244503393801</v>
      </c>
      <c r="P22" s="657">
        <f t="shared" si="3"/>
        <v>3.0391360146561154E-5</v>
      </c>
      <c r="Q22" s="658" t="s">
        <v>379</v>
      </c>
      <c r="U22" s="545">
        <f t="shared" si="113"/>
        <v>19</v>
      </c>
      <c r="V22" s="669">
        <f t="shared" si="4"/>
        <v>19</v>
      </c>
      <c r="W22" s="655" t="s">
        <v>408</v>
      </c>
      <c r="X22" s="646">
        <f t="shared" si="75"/>
        <v>2147.9235318546994</v>
      </c>
      <c r="Y22" s="657">
        <f t="shared" si="5"/>
        <v>2.2251642959316719E-5</v>
      </c>
      <c r="AC22" s="545">
        <f t="shared" si="114"/>
        <v>19</v>
      </c>
      <c r="AD22" s="678">
        <v>19</v>
      </c>
      <c r="AE22" s="679" t="s">
        <v>408</v>
      </c>
      <c r="AF22" s="680">
        <v>131.15</v>
      </c>
      <c r="AP22" s="545">
        <f t="shared" si="77"/>
        <v>19</v>
      </c>
      <c r="AQ22" s="693">
        <f t="shared" si="6"/>
        <v>19</v>
      </c>
      <c r="AR22" s="655" t="s">
        <v>408</v>
      </c>
      <c r="AS22" s="655">
        <f t="shared" si="7"/>
        <v>131.15</v>
      </c>
      <c r="AT22" s="694">
        <f t="shared" si="78"/>
        <v>1349.4811125848451</v>
      </c>
      <c r="AU22" s="694">
        <f t="shared" si="115"/>
        <v>49.162346643195121</v>
      </c>
      <c r="AV22" s="695">
        <f t="shared" si="8"/>
        <v>50.768002340000749</v>
      </c>
      <c r="AW22" s="696">
        <f t="shared" si="9"/>
        <v>21.592508896755891</v>
      </c>
      <c r="AX22" s="646">
        <f t="shared" si="125"/>
        <v>1096.20854219699</v>
      </c>
      <c r="AY22" s="544">
        <f t="shared" si="79"/>
        <v>2.616691647961723E-5</v>
      </c>
      <c r="AZ22" s="548">
        <f t="shared" si="10"/>
        <v>81.231854999999996</v>
      </c>
      <c r="BK22" s="543">
        <f t="shared" si="116"/>
        <v>19</v>
      </c>
      <c r="BL22" s="658">
        <f t="shared" si="11"/>
        <v>19</v>
      </c>
      <c r="BM22" s="655" t="s">
        <v>408</v>
      </c>
      <c r="BN22" s="657">
        <f t="shared" si="80"/>
        <v>2.616691647961723E-5</v>
      </c>
      <c r="BO22" s="646">
        <f t="shared" si="81"/>
        <v>250.85471545775476</v>
      </c>
      <c r="BP22" s="657">
        <f t="shared" si="82"/>
        <v>6.1757392637114166E-7</v>
      </c>
      <c r="BQ22" s="646">
        <f t="shared" si="83"/>
        <v>5.9205039193149647</v>
      </c>
      <c r="BR22" s="708">
        <f t="shared" si="12"/>
        <v>256.77521937706973</v>
      </c>
      <c r="BS22" s="709">
        <f t="shared" si="13"/>
        <v>19.027699999999999</v>
      </c>
      <c r="BV22" s="15"/>
      <c r="BW22" s="190"/>
      <c r="BX22" s="190"/>
      <c r="BY22" s="190"/>
      <c r="BZ22" s="190"/>
      <c r="CA22" s="190"/>
      <c r="CB22" s="190"/>
      <c r="CC22" s="190"/>
      <c r="CD22" s="190"/>
      <c r="CH22" s="543">
        <f t="shared" si="117"/>
        <v>19</v>
      </c>
      <c r="CI22" s="678">
        <f t="shared" si="15"/>
        <v>19</v>
      </c>
      <c r="CJ22" s="655" t="s">
        <v>408</v>
      </c>
      <c r="CK22" s="657">
        <f t="shared" si="16"/>
        <v>6.1757392637114166E-7</v>
      </c>
      <c r="CL22" s="646">
        <f t="shared" si="17"/>
        <v>3.6200570318019154</v>
      </c>
      <c r="CM22" s="657">
        <f t="shared" si="18"/>
        <v>3.0391360146561154E-5</v>
      </c>
      <c r="CN22" s="646">
        <f t="shared" si="19"/>
        <v>583.87814106743963</v>
      </c>
      <c r="CO22" s="646">
        <f t="shared" si="20"/>
        <v>587.49819809924156</v>
      </c>
      <c r="CP22" s="657">
        <f t="shared" si="21"/>
        <v>2.3430838134266577E-5</v>
      </c>
      <c r="CQ22" s="709">
        <f t="shared" si="22"/>
        <v>43.535117999999997</v>
      </c>
      <c r="DD22" s="15"/>
      <c r="DG22" s="545">
        <f t="shared" si="118"/>
        <v>19</v>
      </c>
      <c r="DH22" s="739">
        <f t="shared" si="24"/>
        <v>19</v>
      </c>
      <c r="DI22" s="655" t="s">
        <v>408</v>
      </c>
      <c r="DJ22" s="657">
        <f t="shared" si="25"/>
        <v>2.3430838134266577E-5</v>
      </c>
      <c r="DK22" s="646">
        <f t="shared" si="84"/>
        <v>8.8262733518924392</v>
      </c>
      <c r="DL22" s="657">
        <f t="shared" si="26"/>
        <v>3.0391360146561154E-5</v>
      </c>
      <c r="DM22" s="646">
        <f t="shared" si="27"/>
        <v>74.402167952125637</v>
      </c>
      <c r="DN22" s="657">
        <f t="shared" si="28"/>
        <v>6.1757392637114166E-7</v>
      </c>
      <c r="DO22" s="646">
        <f t="shared" si="29"/>
        <v>2.1916858830133399</v>
      </c>
      <c r="DP22" s="646">
        <f t="shared" si="85"/>
        <v>85.420127187031412</v>
      </c>
      <c r="DQ22" s="657">
        <f t="shared" si="30"/>
        <v>1.3401980662424825E-5</v>
      </c>
      <c r="DR22" s="709">
        <f t="shared" si="31"/>
        <v>6.3298500000000004</v>
      </c>
      <c r="DV22" s="545">
        <f t="shared" si="119"/>
        <v>19</v>
      </c>
      <c r="DW22" s="739">
        <f t="shared" si="32"/>
        <v>19</v>
      </c>
      <c r="DX22" s="655" t="s">
        <v>408</v>
      </c>
      <c r="DY22" s="657">
        <f t="shared" si="33"/>
        <v>3.0391360146561154E-5</v>
      </c>
      <c r="DZ22" s="646">
        <f t="shared" si="34"/>
        <v>122.02144499436658</v>
      </c>
      <c r="EA22" s="709">
        <f t="shared" si="35"/>
        <v>9.0421010000000006</v>
      </c>
      <c r="EM22" s="545">
        <f t="shared" si="120"/>
        <v>19</v>
      </c>
      <c r="EN22" s="739">
        <f t="shared" si="36"/>
        <v>19</v>
      </c>
      <c r="EO22" s="655" t="s">
        <v>408</v>
      </c>
      <c r="EP22" s="657">
        <f t="shared" si="37"/>
        <v>2.2251642959316719E-5</v>
      </c>
      <c r="EQ22" s="646">
        <f t="shared" si="38"/>
        <v>174.18183744764139</v>
      </c>
      <c r="ER22" s="657">
        <f t="shared" si="39"/>
        <v>2.3430838134266577E-5</v>
      </c>
      <c r="ES22" s="646">
        <f t="shared" si="40"/>
        <v>23.675463957664171</v>
      </c>
      <c r="ET22" s="657">
        <f t="shared" si="41"/>
        <v>6.1757392637114166E-7</v>
      </c>
      <c r="EU22" s="646">
        <f t="shared" si="42"/>
        <v>2.6416172833476672</v>
      </c>
      <c r="EV22" s="646">
        <f t="shared" si="43"/>
        <v>200.49891868865322</v>
      </c>
      <c r="EW22" s="657">
        <f t="shared" si="44"/>
        <v>1.5286974769628129E-5</v>
      </c>
      <c r="EX22" s="709">
        <f t="shared" si="45"/>
        <v>14.857481999999999</v>
      </c>
      <c r="FH22" s="545">
        <f t="shared" si="121"/>
        <v>19</v>
      </c>
      <c r="FI22" s="669">
        <f t="shared" si="46"/>
        <v>19</v>
      </c>
      <c r="FJ22" s="655" t="s">
        <v>408</v>
      </c>
      <c r="FK22" s="657">
        <f t="shared" si="47"/>
        <v>2.2251642959316719E-5</v>
      </c>
      <c r="FL22" s="646">
        <f t="shared" si="48"/>
        <v>437.13895633832658</v>
      </c>
      <c r="FM22" s="709">
        <f t="shared" si="49"/>
        <v>32.393113999999997</v>
      </c>
      <c r="FQ22" s="543">
        <v>19</v>
      </c>
      <c r="FR22" s="669">
        <v>19</v>
      </c>
      <c r="FS22" s="655" t="s">
        <v>408</v>
      </c>
      <c r="FT22" s="646">
        <f t="shared" si="50"/>
        <v>1096.20854219699</v>
      </c>
      <c r="FU22" s="646">
        <f t="shared" si="51"/>
        <v>256.77521937706973</v>
      </c>
      <c r="FV22" s="646">
        <f t="shared" si="52"/>
        <v>587.49819809924156</v>
      </c>
      <c r="FW22" s="646">
        <f t="shared" si="87"/>
        <v>85.420127187031412</v>
      </c>
      <c r="FX22" s="646">
        <f t="shared" si="53"/>
        <v>122.02144499436658</v>
      </c>
      <c r="FY22" s="646">
        <f t="shared" si="54"/>
        <v>200.49891868865322</v>
      </c>
      <c r="FZ22" s="646">
        <f t="shared" si="55"/>
        <v>437.13895633832658</v>
      </c>
      <c r="GA22" s="646">
        <f t="shared" si="56"/>
        <v>2785.5614068816794</v>
      </c>
      <c r="GB22" s="746">
        <f t="shared" si="57"/>
        <v>206.41722100000001</v>
      </c>
      <c r="GF22" s="545">
        <f t="shared" si="88"/>
        <v>19</v>
      </c>
      <c r="GG22" s="669">
        <f t="shared" si="58"/>
        <v>19</v>
      </c>
      <c r="GH22" s="655" t="s">
        <v>408</v>
      </c>
      <c r="GI22" s="709">
        <f t="shared" si="59"/>
        <v>81.231854999999996</v>
      </c>
      <c r="GJ22" s="709">
        <f t="shared" si="60"/>
        <v>19.027699999999999</v>
      </c>
      <c r="GK22" s="709">
        <f t="shared" si="61"/>
        <v>43.535117999999997</v>
      </c>
      <c r="GL22" s="709">
        <f t="shared" si="62"/>
        <v>6.3298500000000004</v>
      </c>
      <c r="GM22" s="709">
        <f t="shared" si="63"/>
        <v>9.0421010000000006</v>
      </c>
      <c r="GN22" s="709">
        <f t="shared" si="64"/>
        <v>14.857481999999999</v>
      </c>
      <c r="GO22" s="709">
        <f t="shared" si="65"/>
        <v>32.393113999999997</v>
      </c>
      <c r="GP22" s="709">
        <f t="shared" si="66"/>
        <v>206.41722100000001</v>
      </c>
      <c r="GQ22" s="656">
        <f t="shared" si="89"/>
        <v>1349.4811125848451</v>
      </c>
      <c r="GR22" s="530"/>
      <c r="GU22" s="543">
        <f t="shared" si="90"/>
        <v>19</v>
      </c>
      <c r="GV22" s="669">
        <f t="shared" si="67"/>
        <v>19</v>
      </c>
      <c r="GW22" s="655" t="s">
        <v>408</v>
      </c>
      <c r="GX22" s="658" t="s">
        <v>379</v>
      </c>
      <c r="GY22" s="646">
        <f t="shared" si="68"/>
        <v>2785.5614068816794</v>
      </c>
      <c r="GZ22" s="656">
        <f t="shared" si="69"/>
        <v>1349.4811125848451</v>
      </c>
      <c r="HA22" s="709">
        <f t="shared" si="91"/>
        <v>206.41722100000001</v>
      </c>
      <c r="HB22" s="646">
        <f t="shared" si="70"/>
        <v>2785.5614105175187</v>
      </c>
      <c r="HC22" s="749">
        <f t="shared" si="71"/>
        <v>3.6358392208057921E-6</v>
      </c>
      <c r="HD22" s="549"/>
      <c r="HG22" s="549"/>
      <c r="HH22" s="549"/>
      <c r="HI22" s="549"/>
      <c r="HJ22" s="549"/>
      <c r="HK22" s="549"/>
      <c r="HL22" s="549"/>
      <c r="HM22" s="549"/>
      <c r="HP22" s="545">
        <f t="shared" si="122"/>
        <v>19</v>
      </c>
      <c r="HQ22" s="761">
        <f t="shared" si="72"/>
        <v>19</v>
      </c>
      <c r="HR22" s="655" t="s">
        <v>408</v>
      </c>
      <c r="HS22" s="656">
        <f t="shared" si="92"/>
        <v>1349.4811125848451</v>
      </c>
      <c r="HT22" s="756">
        <f t="shared" si="93"/>
        <v>206.41722100000001</v>
      </c>
      <c r="HU22" s="756">
        <v>233.030067</v>
      </c>
      <c r="HV22" s="647">
        <f t="shared" si="94"/>
        <v>-0.11420348602483121</v>
      </c>
      <c r="HW22" s="756">
        <f t="shared" si="95"/>
        <v>-26.61284599999999</v>
      </c>
      <c r="HX22" s="648">
        <v>10</v>
      </c>
      <c r="IO22" s="545">
        <v>19</v>
      </c>
      <c r="IP22" s="761">
        <v>19</v>
      </c>
      <c r="IQ22" s="655" t="s">
        <v>408</v>
      </c>
      <c r="IR22" s="769">
        <f t="shared" si="96"/>
        <v>2785.5614068816794</v>
      </c>
      <c r="IS22" s="770">
        <f t="shared" si="96"/>
        <v>1349.4811125848451</v>
      </c>
      <c r="IT22" s="771">
        <f t="shared" si="96"/>
        <v>206.41722100000001</v>
      </c>
      <c r="IU22" s="656">
        <f t="shared" si="97"/>
        <v>198.13900496572472</v>
      </c>
      <c r="IV22" s="656">
        <f t="shared" si="98"/>
        <v>1151.3421076191203</v>
      </c>
      <c r="IW22" s="769">
        <f t="shared" si="99"/>
        <v>2.9720850744858707</v>
      </c>
      <c r="IX22" s="769">
        <f t="shared" si="100"/>
        <v>2782.5893218071938</v>
      </c>
      <c r="IY22" s="550">
        <f t="shared" si="101"/>
        <v>206.19698162928128</v>
      </c>
      <c r="IZ22" s="550">
        <f>IY22+1.5</f>
        <v>207.69698162928128</v>
      </c>
      <c r="JA22" s="769">
        <f t="shared" si="103"/>
        <v>2785.5614068816794</v>
      </c>
      <c r="JB22" s="746">
        <f t="shared" si="104"/>
        <v>0.22023937071872979</v>
      </c>
      <c r="JF22" s="545">
        <f t="shared" si="123"/>
        <v>19</v>
      </c>
      <c r="JG22" s="761">
        <f t="shared" si="73"/>
        <v>19</v>
      </c>
      <c r="JH22" s="655" t="s">
        <v>408</v>
      </c>
      <c r="JI22" s="656">
        <f t="shared" si="105"/>
        <v>1349.4811125848451</v>
      </c>
      <c r="JJ22" s="756">
        <f t="shared" si="106"/>
        <v>206.19698162928128</v>
      </c>
      <c r="JK22" s="756">
        <v>232.80783427268813</v>
      </c>
      <c r="JL22" s="647">
        <f t="shared" si="126"/>
        <v>-0.11430393966999197</v>
      </c>
      <c r="JM22" s="756">
        <f t="shared" si="108"/>
        <v>-26.610852643406844</v>
      </c>
      <c r="JN22" s="648">
        <v>10</v>
      </c>
      <c r="JS22" s="756">
        <v>206.41586917383711</v>
      </c>
      <c r="JT22" s="756">
        <f t="shared" si="109"/>
        <v>-0.21888754455582671</v>
      </c>
      <c r="JU22" s="1009">
        <v>1476</v>
      </c>
      <c r="JV22" s="1009">
        <f t="shared" si="110"/>
        <v>126.51888741515495</v>
      </c>
      <c r="JW22" s="978">
        <f t="shared" si="124"/>
        <v>-1.0604201383929758E-3</v>
      </c>
      <c r="JX22" s="997">
        <v>3046.6982290058354</v>
      </c>
      <c r="JY22" s="997">
        <f t="shared" si="111"/>
        <v>2782.5893218071933</v>
      </c>
      <c r="JZ22" s="516"/>
      <c r="KA22" s="516"/>
      <c r="KB22" s="516"/>
      <c r="KC22" s="516"/>
      <c r="KE22" s="516"/>
      <c r="KF22" s="516"/>
    </row>
    <row r="23" spans="2:292" ht="16.5" x14ac:dyDescent="0.3">
      <c r="I23" s="222">
        <v>20</v>
      </c>
      <c r="J23" s="659">
        <f t="shared" si="1"/>
        <v>20</v>
      </c>
      <c r="K23" s="660" t="s">
        <v>409</v>
      </c>
      <c r="L23" s="991"/>
      <c r="M23" s="662">
        <f t="shared" si="2"/>
        <v>0</v>
      </c>
      <c r="N23" s="661">
        <v>798</v>
      </c>
      <c r="O23" s="661">
        <f t="shared" si="74"/>
        <v>0</v>
      </c>
      <c r="P23" s="662">
        <f t="shared" si="3"/>
        <v>0</v>
      </c>
      <c r="Q23" s="663" t="s">
        <v>384</v>
      </c>
      <c r="U23" s="551">
        <f t="shared" si="113"/>
        <v>20</v>
      </c>
      <c r="V23" s="670">
        <f t="shared" si="4"/>
        <v>20</v>
      </c>
      <c r="W23" s="660" t="s">
        <v>409</v>
      </c>
      <c r="X23" s="671">
        <f t="shared" si="75"/>
        <v>0</v>
      </c>
      <c r="Y23" s="662">
        <f t="shared" si="5"/>
        <v>0</v>
      </c>
      <c r="AC23" s="551">
        <f t="shared" si="114"/>
        <v>20</v>
      </c>
      <c r="AD23" s="681">
        <v>20</v>
      </c>
      <c r="AE23" s="682" t="s">
        <v>409</v>
      </c>
      <c r="AF23" s="683">
        <v>4.6900000000000004</v>
      </c>
      <c r="AP23" s="551">
        <f t="shared" si="77"/>
        <v>20</v>
      </c>
      <c r="AQ23" s="697">
        <f t="shared" si="6"/>
        <v>20</v>
      </c>
      <c r="AR23" s="660" t="s">
        <v>409</v>
      </c>
      <c r="AS23" s="660">
        <f t="shared" si="7"/>
        <v>4.6900000000000004</v>
      </c>
      <c r="AT23" s="698">
        <f t="shared" si="78"/>
        <v>0</v>
      </c>
      <c r="AU23" s="698">
        <f t="shared" si="115"/>
        <v>0</v>
      </c>
      <c r="AV23" s="699">
        <f t="shared" si="8"/>
        <v>0</v>
      </c>
      <c r="AW23" s="700">
        <f t="shared" si="9"/>
        <v>21.592508896755891</v>
      </c>
      <c r="AX23" s="671">
        <f t="shared" si="125"/>
        <v>0</v>
      </c>
      <c r="AY23" s="465">
        <f t="shared" si="79"/>
        <v>0</v>
      </c>
      <c r="AZ23" s="553">
        <f t="shared" si="10"/>
        <v>0</v>
      </c>
      <c r="BK23" s="222">
        <f t="shared" si="116"/>
        <v>20</v>
      </c>
      <c r="BL23" s="663">
        <f t="shared" si="11"/>
        <v>20</v>
      </c>
      <c r="BM23" s="660" t="s">
        <v>409</v>
      </c>
      <c r="BN23" s="662">
        <f t="shared" si="80"/>
        <v>0</v>
      </c>
      <c r="BO23" s="671">
        <f t="shared" si="81"/>
        <v>0</v>
      </c>
      <c r="BP23" s="662">
        <f t="shared" si="82"/>
        <v>0</v>
      </c>
      <c r="BQ23" s="671">
        <f t="shared" si="83"/>
        <v>0</v>
      </c>
      <c r="BR23" s="710">
        <f t="shared" si="12"/>
        <v>0</v>
      </c>
      <c r="BS23" s="711">
        <f t="shared" si="13"/>
        <v>0</v>
      </c>
      <c r="BV23" s="15"/>
      <c r="BW23" s="190"/>
      <c r="BX23" s="190"/>
      <c r="BY23" s="190"/>
      <c r="BZ23" s="190"/>
      <c r="CA23" s="190"/>
      <c r="CB23" s="190"/>
      <c r="CC23" s="190"/>
      <c r="CD23" s="190"/>
      <c r="CH23" s="222">
        <f t="shared" si="117"/>
        <v>20</v>
      </c>
      <c r="CI23" s="681">
        <f t="shared" si="15"/>
        <v>20</v>
      </c>
      <c r="CJ23" s="660" t="s">
        <v>409</v>
      </c>
      <c r="CK23" s="723">
        <f t="shared" si="16"/>
        <v>0</v>
      </c>
      <c r="CL23" s="650">
        <f t="shared" si="17"/>
        <v>0</v>
      </c>
      <c r="CM23" s="723">
        <f t="shared" si="18"/>
        <v>0</v>
      </c>
      <c r="CN23" s="650">
        <f t="shared" si="19"/>
        <v>0</v>
      </c>
      <c r="CO23" s="650">
        <f t="shared" si="20"/>
        <v>0</v>
      </c>
      <c r="CP23" s="723">
        <f t="shared" si="21"/>
        <v>0</v>
      </c>
      <c r="CQ23" s="724">
        <f t="shared" si="22"/>
        <v>0</v>
      </c>
      <c r="DD23" s="15"/>
      <c r="DG23" s="551">
        <f t="shared" si="118"/>
        <v>20</v>
      </c>
      <c r="DH23" s="677">
        <f t="shared" si="24"/>
        <v>20</v>
      </c>
      <c r="DI23" s="660" t="s">
        <v>409</v>
      </c>
      <c r="DJ23" s="723">
        <f t="shared" si="25"/>
        <v>0</v>
      </c>
      <c r="DK23" s="650">
        <f t="shared" si="84"/>
        <v>0</v>
      </c>
      <c r="DL23" s="723">
        <f t="shared" si="26"/>
        <v>0</v>
      </c>
      <c r="DM23" s="650">
        <f t="shared" si="27"/>
        <v>0</v>
      </c>
      <c r="DN23" s="723">
        <f t="shared" si="28"/>
        <v>0</v>
      </c>
      <c r="DO23" s="650">
        <f t="shared" si="29"/>
        <v>0</v>
      </c>
      <c r="DP23" s="650">
        <f t="shared" si="85"/>
        <v>0</v>
      </c>
      <c r="DQ23" s="723">
        <f t="shared" si="30"/>
        <v>0</v>
      </c>
      <c r="DR23" s="724">
        <f t="shared" si="31"/>
        <v>0</v>
      </c>
      <c r="DV23" s="551">
        <f t="shared" si="119"/>
        <v>20</v>
      </c>
      <c r="DW23" s="677">
        <f t="shared" si="32"/>
        <v>20</v>
      </c>
      <c r="DX23" s="660" t="s">
        <v>409</v>
      </c>
      <c r="DY23" s="723">
        <f t="shared" si="33"/>
        <v>0</v>
      </c>
      <c r="DZ23" s="650">
        <f t="shared" si="34"/>
        <v>0</v>
      </c>
      <c r="EA23" s="724">
        <f t="shared" si="35"/>
        <v>0</v>
      </c>
      <c r="EM23" s="551">
        <f t="shared" si="120"/>
        <v>20</v>
      </c>
      <c r="EN23" s="677">
        <f t="shared" si="36"/>
        <v>20</v>
      </c>
      <c r="EO23" s="660" t="s">
        <v>409</v>
      </c>
      <c r="EP23" s="723">
        <f t="shared" si="37"/>
        <v>0</v>
      </c>
      <c r="EQ23" s="650">
        <f t="shared" si="38"/>
        <v>0</v>
      </c>
      <c r="ER23" s="723">
        <f t="shared" si="39"/>
        <v>0</v>
      </c>
      <c r="ES23" s="650">
        <f t="shared" si="40"/>
        <v>0</v>
      </c>
      <c r="ET23" s="723">
        <f t="shared" si="41"/>
        <v>0</v>
      </c>
      <c r="EU23" s="650">
        <f t="shared" si="42"/>
        <v>0</v>
      </c>
      <c r="EV23" s="650">
        <f t="shared" si="43"/>
        <v>0</v>
      </c>
      <c r="EW23" s="723">
        <f t="shared" si="44"/>
        <v>0</v>
      </c>
      <c r="EX23" s="724">
        <f t="shared" si="45"/>
        <v>0</v>
      </c>
      <c r="FH23" s="551">
        <f t="shared" si="121"/>
        <v>20</v>
      </c>
      <c r="FI23" s="670">
        <f t="shared" si="46"/>
        <v>20</v>
      </c>
      <c r="FJ23" s="660" t="s">
        <v>409</v>
      </c>
      <c r="FK23" s="723">
        <f t="shared" si="47"/>
        <v>0</v>
      </c>
      <c r="FL23" s="650">
        <f t="shared" si="48"/>
        <v>0</v>
      </c>
      <c r="FM23" s="724">
        <f t="shared" si="49"/>
        <v>0</v>
      </c>
      <c r="FQ23" s="222">
        <v>20</v>
      </c>
      <c r="FR23" s="670">
        <v>20</v>
      </c>
      <c r="FS23" s="660" t="s">
        <v>409</v>
      </c>
      <c r="FT23" s="650">
        <f t="shared" si="50"/>
        <v>0</v>
      </c>
      <c r="FU23" s="650">
        <f t="shared" si="51"/>
        <v>0</v>
      </c>
      <c r="FV23" s="650">
        <f t="shared" si="52"/>
        <v>0</v>
      </c>
      <c r="FW23" s="650">
        <f t="shared" si="87"/>
        <v>0</v>
      </c>
      <c r="FX23" s="650">
        <f t="shared" si="53"/>
        <v>0</v>
      </c>
      <c r="FY23" s="650">
        <f t="shared" si="54"/>
        <v>0</v>
      </c>
      <c r="FZ23" s="650">
        <f t="shared" si="55"/>
        <v>0</v>
      </c>
      <c r="GA23" s="650">
        <f t="shared" si="56"/>
        <v>0</v>
      </c>
      <c r="GB23" s="747">
        <f t="shared" si="57"/>
        <v>0</v>
      </c>
      <c r="GF23" s="551">
        <f t="shared" si="88"/>
        <v>20</v>
      </c>
      <c r="GG23" s="670">
        <f t="shared" si="58"/>
        <v>20</v>
      </c>
      <c r="GH23" s="660" t="s">
        <v>409</v>
      </c>
      <c r="GI23" s="724">
        <f t="shared" si="59"/>
        <v>0</v>
      </c>
      <c r="GJ23" s="724">
        <f t="shared" si="60"/>
        <v>0</v>
      </c>
      <c r="GK23" s="724">
        <f t="shared" si="61"/>
        <v>0</v>
      </c>
      <c r="GL23" s="724">
        <f t="shared" si="62"/>
        <v>0</v>
      </c>
      <c r="GM23" s="724">
        <f t="shared" si="63"/>
        <v>0</v>
      </c>
      <c r="GN23" s="724">
        <f t="shared" si="64"/>
        <v>0</v>
      </c>
      <c r="GO23" s="724">
        <f t="shared" si="65"/>
        <v>0</v>
      </c>
      <c r="GP23" s="724">
        <f t="shared" si="66"/>
        <v>0</v>
      </c>
      <c r="GQ23" s="661">
        <f t="shared" si="89"/>
        <v>0</v>
      </c>
      <c r="GR23" s="530"/>
      <c r="GU23" s="222">
        <f t="shared" si="90"/>
        <v>20</v>
      </c>
      <c r="GV23" s="670">
        <f t="shared" si="67"/>
        <v>20</v>
      </c>
      <c r="GW23" s="660" t="s">
        <v>409</v>
      </c>
      <c r="GX23" s="663" t="s">
        <v>384</v>
      </c>
      <c r="GY23" s="671">
        <f t="shared" si="68"/>
        <v>0</v>
      </c>
      <c r="GZ23" s="661">
        <f t="shared" si="69"/>
        <v>0</v>
      </c>
      <c r="HA23" s="724">
        <f t="shared" si="91"/>
        <v>0</v>
      </c>
      <c r="HB23" s="650">
        <f t="shared" si="70"/>
        <v>0</v>
      </c>
      <c r="HC23" s="750">
        <f t="shared" si="71"/>
        <v>0</v>
      </c>
      <c r="HD23" s="549"/>
      <c r="HG23" s="549"/>
      <c r="HH23" s="549"/>
      <c r="HI23" s="549"/>
      <c r="HJ23" s="549"/>
      <c r="HK23" s="549"/>
      <c r="HL23" s="549"/>
      <c r="HM23" s="549"/>
      <c r="HP23" s="551">
        <f t="shared" si="122"/>
        <v>20</v>
      </c>
      <c r="HQ23" s="762">
        <f t="shared" si="72"/>
        <v>20</v>
      </c>
      <c r="HR23" s="660" t="s">
        <v>409</v>
      </c>
      <c r="HS23" s="661">
        <f t="shared" si="92"/>
        <v>0</v>
      </c>
      <c r="HT23" s="757">
        <f t="shared" si="93"/>
        <v>0</v>
      </c>
      <c r="HU23" s="757">
        <v>7.2849089999999999</v>
      </c>
      <c r="HV23" s="651">
        <f t="shared" si="94"/>
        <v>-1</v>
      </c>
      <c r="HW23" s="757">
        <f t="shared" si="95"/>
        <v>-7.2849089999999999</v>
      </c>
      <c r="HX23" s="652">
        <v>10</v>
      </c>
      <c r="IO23" s="551">
        <v>20</v>
      </c>
      <c r="IP23" s="762">
        <v>20</v>
      </c>
      <c r="IQ23" s="660" t="s">
        <v>409</v>
      </c>
      <c r="IR23" s="772">
        <f t="shared" si="96"/>
        <v>0</v>
      </c>
      <c r="IS23" s="773">
        <f t="shared" si="96"/>
        <v>0</v>
      </c>
      <c r="IT23" s="774">
        <f t="shared" si="96"/>
        <v>0</v>
      </c>
      <c r="IU23" s="991">
        <v>0</v>
      </c>
      <c r="IV23" s="661">
        <f t="shared" si="98"/>
        <v>0</v>
      </c>
      <c r="IW23" s="772">
        <f t="shared" si="99"/>
        <v>0</v>
      </c>
      <c r="IX23" s="772">
        <f t="shared" si="100"/>
        <v>0</v>
      </c>
      <c r="IY23" s="455">
        <f>IT23</f>
        <v>0</v>
      </c>
      <c r="IZ23" s="555">
        <f t="shared" ref="IZ23:IZ24" si="128">IY23</f>
        <v>0</v>
      </c>
      <c r="JA23" s="772">
        <f t="shared" si="103"/>
        <v>0</v>
      </c>
      <c r="JB23" s="778">
        <f t="shared" si="104"/>
        <v>0</v>
      </c>
      <c r="JF23" s="551">
        <f t="shared" si="123"/>
        <v>20</v>
      </c>
      <c r="JG23" s="762">
        <f t="shared" si="73"/>
        <v>20</v>
      </c>
      <c r="JH23" s="660" t="s">
        <v>409</v>
      </c>
      <c r="JI23" s="661">
        <f t="shared" si="105"/>
        <v>0</v>
      </c>
      <c r="JJ23" s="757">
        <f t="shared" si="106"/>
        <v>0</v>
      </c>
      <c r="JK23" s="757">
        <v>7.2849089999999999</v>
      </c>
      <c r="JL23" s="651">
        <f t="shared" si="126"/>
        <v>-1</v>
      </c>
      <c r="JM23" s="757">
        <f t="shared" si="108"/>
        <v>-7.2849089999999999</v>
      </c>
      <c r="JN23" s="652">
        <v>10</v>
      </c>
      <c r="JS23" s="757">
        <v>0</v>
      </c>
      <c r="JT23" s="757">
        <f t="shared" si="109"/>
        <v>0</v>
      </c>
      <c r="JU23" s="1010">
        <v>0</v>
      </c>
      <c r="JV23" s="1010">
        <f t="shared" si="110"/>
        <v>0</v>
      </c>
      <c r="JW23" s="978"/>
      <c r="JX23" s="997">
        <v>0</v>
      </c>
      <c r="JY23" s="997">
        <f t="shared" si="111"/>
        <v>0</v>
      </c>
      <c r="JZ23" s="516"/>
      <c r="KA23" s="516"/>
      <c r="KB23" s="516"/>
      <c r="KC23" s="516"/>
      <c r="KE23" s="516"/>
      <c r="KF23" s="516"/>
    </row>
    <row r="24" spans="2:292" ht="16.5" x14ac:dyDescent="0.3">
      <c r="I24" s="543">
        <v>21</v>
      </c>
      <c r="J24" s="654">
        <f t="shared" si="1"/>
        <v>21</v>
      </c>
      <c r="K24" s="655" t="s">
        <v>410</v>
      </c>
      <c r="L24" s="991"/>
      <c r="M24" s="657">
        <f t="shared" si="2"/>
        <v>0</v>
      </c>
      <c r="N24" s="656">
        <v>546</v>
      </c>
      <c r="O24" s="656">
        <f t="shared" si="74"/>
        <v>0</v>
      </c>
      <c r="P24" s="657">
        <f t="shared" si="3"/>
        <v>0</v>
      </c>
      <c r="Q24" s="658" t="s">
        <v>384</v>
      </c>
      <c r="U24" s="545">
        <f t="shared" si="113"/>
        <v>21</v>
      </c>
      <c r="V24" s="669">
        <f t="shared" si="4"/>
        <v>21</v>
      </c>
      <c r="W24" s="655" t="s">
        <v>410</v>
      </c>
      <c r="X24" s="646">
        <f t="shared" si="75"/>
        <v>0</v>
      </c>
      <c r="Y24" s="657">
        <f t="shared" si="5"/>
        <v>0</v>
      </c>
      <c r="AC24" s="545">
        <f t="shared" si="114"/>
        <v>21</v>
      </c>
      <c r="AD24" s="678">
        <v>21</v>
      </c>
      <c r="AE24" s="679" t="s">
        <v>410</v>
      </c>
      <c r="AF24" s="680">
        <v>5.0999999999999996</v>
      </c>
      <c r="AP24" s="545">
        <f t="shared" si="77"/>
        <v>21</v>
      </c>
      <c r="AQ24" s="693">
        <f t="shared" si="6"/>
        <v>21</v>
      </c>
      <c r="AR24" s="655" t="s">
        <v>410</v>
      </c>
      <c r="AS24" s="655">
        <f t="shared" si="7"/>
        <v>5.0999999999999996</v>
      </c>
      <c r="AT24" s="694">
        <f t="shared" si="78"/>
        <v>0</v>
      </c>
      <c r="AU24" s="694">
        <f t="shared" si="115"/>
        <v>0</v>
      </c>
      <c r="AV24" s="695">
        <f t="shared" si="8"/>
        <v>0</v>
      </c>
      <c r="AW24" s="696">
        <f t="shared" si="9"/>
        <v>21.592508896755891</v>
      </c>
      <c r="AX24" s="646">
        <f t="shared" si="125"/>
        <v>0</v>
      </c>
      <c r="AY24" s="544">
        <f t="shared" si="79"/>
        <v>0</v>
      </c>
      <c r="AZ24" s="548">
        <f t="shared" si="10"/>
        <v>0</v>
      </c>
      <c r="BK24" s="543">
        <f t="shared" si="116"/>
        <v>21</v>
      </c>
      <c r="BL24" s="658">
        <f t="shared" si="11"/>
        <v>21</v>
      </c>
      <c r="BM24" s="655" t="s">
        <v>410</v>
      </c>
      <c r="BN24" s="657">
        <f t="shared" si="80"/>
        <v>0</v>
      </c>
      <c r="BO24" s="646">
        <f t="shared" si="81"/>
        <v>0</v>
      </c>
      <c r="BP24" s="657">
        <f t="shared" si="82"/>
        <v>0</v>
      </c>
      <c r="BQ24" s="646">
        <f t="shared" si="83"/>
        <v>0</v>
      </c>
      <c r="BR24" s="708">
        <f t="shared" si="12"/>
        <v>0</v>
      </c>
      <c r="BS24" s="709">
        <f t="shared" si="13"/>
        <v>0</v>
      </c>
      <c r="BV24" s="15"/>
      <c r="BW24" s="190"/>
      <c r="BX24" s="190"/>
      <c r="BY24" s="190"/>
      <c r="BZ24" s="190"/>
      <c r="CA24" s="190"/>
      <c r="CB24" s="190"/>
      <c r="CC24" s="190"/>
      <c r="CD24" s="190"/>
      <c r="CH24" s="543">
        <f t="shared" si="117"/>
        <v>21</v>
      </c>
      <c r="CI24" s="678">
        <f t="shared" si="15"/>
        <v>21</v>
      </c>
      <c r="CJ24" s="655" t="s">
        <v>410</v>
      </c>
      <c r="CK24" s="657">
        <f t="shared" si="16"/>
        <v>0</v>
      </c>
      <c r="CL24" s="646">
        <f t="shared" si="17"/>
        <v>0</v>
      </c>
      <c r="CM24" s="657">
        <f t="shared" si="18"/>
        <v>0</v>
      </c>
      <c r="CN24" s="646">
        <f t="shared" si="19"/>
        <v>0</v>
      </c>
      <c r="CO24" s="646">
        <f t="shared" si="20"/>
        <v>0</v>
      </c>
      <c r="CP24" s="657">
        <f t="shared" si="21"/>
        <v>0</v>
      </c>
      <c r="CQ24" s="709">
        <f t="shared" si="22"/>
        <v>0</v>
      </c>
      <c r="DD24" s="15"/>
      <c r="DG24" s="545">
        <f t="shared" si="118"/>
        <v>21</v>
      </c>
      <c r="DH24" s="739">
        <f t="shared" si="24"/>
        <v>21</v>
      </c>
      <c r="DI24" s="655" t="s">
        <v>410</v>
      </c>
      <c r="DJ24" s="657">
        <f t="shared" si="25"/>
        <v>0</v>
      </c>
      <c r="DK24" s="646">
        <f t="shared" si="84"/>
        <v>0</v>
      </c>
      <c r="DL24" s="657">
        <f t="shared" si="26"/>
        <v>0</v>
      </c>
      <c r="DM24" s="646">
        <f t="shared" si="27"/>
        <v>0</v>
      </c>
      <c r="DN24" s="657">
        <f t="shared" si="28"/>
        <v>0</v>
      </c>
      <c r="DO24" s="646">
        <f t="shared" si="29"/>
        <v>0</v>
      </c>
      <c r="DP24" s="646">
        <f t="shared" si="85"/>
        <v>0</v>
      </c>
      <c r="DQ24" s="657">
        <f t="shared" si="30"/>
        <v>0</v>
      </c>
      <c r="DR24" s="709">
        <f t="shared" si="31"/>
        <v>0</v>
      </c>
      <c r="DV24" s="545">
        <f t="shared" si="119"/>
        <v>21</v>
      </c>
      <c r="DW24" s="739">
        <f t="shared" si="32"/>
        <v>21</v>
      </c>
      <c r="DX24" s="655" t="s">
        <v>410</v>
      </c>
      <c r="DY24" s="657">
        <f t="shared" si="33"/>
        <v>0</v>
      </c>
      <c r="DZ24" s="646">
        <f t="shared" si="34"/>
        <v>0</v>
      </c>
      <c r="EA24" s="709">
        <f t="shared" si="35"/>
        <v>0</v>
      </c>
      <c r="EM24" s="545">
        <f t="shared" si="120"/>
        <v>21</v>
      </c>
      <c r="EN24" s="739">
        <f t="shared" si="36"/>
        <v>21</v>
      </c>
      <c r="EO24" s="655" t="s">
        <v>410</v>
      </c>
      <c r="EP24" s="657">
        <f t="shared" si="37"/>
        <v>0</v>
      </c>
      <c r="EQ24" s="646">
        <f t="shared" si="38"/>
        <v>0</v>
      </c>
      <c r="ER24" s="657">
        <f t="shared" si="39"/>
        <v>0</v>
      </c>
      <c r="ES24" s="646">
        <f t="shared" si="40"/>
        <v>0</v>
      </c>
      <c r="ET24" s="657">
        <f t="shared" si="41"/>
        <v>0</v>
      </c>
      <c r="EU24" s="646">
        <f t="shared" si="42"/>
        <v>0</v>
      </c>
      <c r="EV24" s="646">
        <f t="shared" si="43"/>
        <v>0</v>
      </c>
      <c r="EW24" s="657">
        <f t="shared" si="44"/>
        <v>0</v>
      </c>
      <c r="EX24" s="709">
        <f t="shared" si="45"/>
        <v>0</v>
      </c>
      <c r="FH24" s="545">
        <f t="shared" si="121"/>
        <v>21</v>
      </c>
      <c r="FI24" s="669">
        <f t="shared" si="46"/>
        <v>21</v>
      </c>
      <c r="FJ24" s="655" t="s">
        <v>410</v>
      </c>
      <c r="FK24" s="657">
        <f t="shared" si="47"/>
        <v>0</v>
      </c>
      <c r="FL24" s="646">
        <f t="shared" si="48"/>
        <v>0</v>
      </c>
      <c r="FM24" s="709">
        <f t="shared" si="49"/>
        <v>0</v>
      </c>
      <c r="FQ24" s="543">
        <v>21</v>
      </c>
      <c r="FR24" s="669">
        <v>21</v>
      </c>
      <c r="FS24" s="655" t="s">
        <v>410</v>
      </c>
      <c r="FT24" s="646">
        <f t="shared" si="50"/>
        <v>0</v>
      </c>
      <c r="FU24" s="646">
        <f t="shared" si="51"/>
        <v>0</v>
      </c>
      <c r="FV24" s="646">
        <f t="shared" si="52"/>
        <v>0</v>
      </c>
      <c r="FW24" s="646">
        <f t="shared" si="87"/>
        <v>0</v>
      </c>
      <c r="FX24" s="646">
        <f t="shared" si="53"/>
        <v>0</v>
      </c>
      <c r="FY24" s="646">
        <f t="shared" si="54"/>
        <v>0</v>
      </c>
      <c r="FZ24" s="646">
        <f t="shared" si="55"/>
        <v>0</v>
      </c>
      <c r="GA24" s="646">
        <f t="shared" si="56"/>
        <v>0</v>
      </c>
      <c r="GB24" s="746">
        <f t="shared" si="57"/>
        <v>0</v>
      </c>
      <c r="GF24" s="545">
        <f t="shared" si="88"/>
        <v>21</v>
      </c>
      <c r="GG24" s="669">
        <f t="shared" si="58"/>
        <v>21</v>
      </c>
      <c r="GH24" s="655" t="s">
        <v>410</v>
      </c>
      <c r="GI24" s="709">
        <f t="shared" si="59"/>
        <v>0</v>
      </c>
      <c r="GJ24" s="709">
        <f t="shared" si="60"/>
        <v>0</v>
      </c>
      <c r="GK24" s="709">
        <f t="shared" si="61"/>
        <v>0</v>
      </c>
      <c r="GL24" s="709">
        <f t="shared" si="62"/>
        <v>0</v>
      </c>
      <c r="GM24" s="709">
        <f t="shared" si="63"/>
        <v>0</v>
      </c>
      <c r="GN24" s="709">
        <f t="shared" si="64"/>
        <v>0</v>
      </c>
      <c r="GO24" s="709">
        <f t="shared" si="65"/>
        <v>0</v>
      </c>
      <c r="GP24" s="709">
        <f t="shared" si="66"/>
        <v>0</v>
      </c>
      <c r="GQ24" s="656">
        <f t="shared" si="89"/>
        <v>0</v>
      </c>
      <c r="GR24" s="530"/>
      <c r="GU24" s="543">
        <f t="shared" si="90"/>
        <v>21</v>
      </c>
      <c r="GV24" s="669">
        <f t="shared" si="67"/>
        <v>21</v>
      </c>
      <c r="GW24" s="655" t="s">
        <v>410</v>
      </c>
      <c r="GX24" s="658" t="s">
        <v>384</v>
      </c>
      <c r="GY24" s="646">
        <f t="shared" si="68"/>
        <v>0</v>
      </c>
      <c r="GZ24" s="656">
        <f t="shared" si="69"/>
        <v>0</v>
      </c>
      <c r="HA24" s="709">
        <f t="shared" si="91"/>
        <v>0</v>
      </c>
      <c r="HB24" s="646">
        <f t="shared" si="70"/>
        <v>0</v>
      </c>
      <c r="HC24" s="749">
        <f t="shared" si="71"/>
        <v>0</v>
      </c>
      <c r="HD24" s="549"/>
      <c r="HG24" s="549"/>
      <c r="HH24" s="549"/>
      <c r="HI24" s="549"/>
      <c r="HJ24" s="549"/>
      <c r="HK24" s="549"/>
      <c r="HL24" s="549"/>
      <c r="HM24" s="549"/>
      <c r="HP24" s="545">
        <f t="shared" si="122"/>
        <v>21</v>
      </c>
      <c r="HQ24" s="761">
        <f t="shared" si="72"/>
        <v>21</v>
      </c>
      <c r="HR24" s="655" t="s">
        <v>410</v>
      </c>
      <c r="HS24" s="656">
        <f t="shared" si="92"/>
        <v>0</v>
      </c>
      <c r="HT24" s="756">
        <f t="shared" si="93"/>
        <v>0</v>
      </c>
      <c r="HU24" s="756">
        <v>8.3326989999999999</v>
      </c>
      <c r="HV24" s="647">
        <f t="shared" si="94"/>
        <v>-1</v>
      </c>
      <c r="HW24" s="756">
        <f t="shared" si="95"/>
        <v>-8.3326989999999999</v>
      </c>
      <c r="HX24" s="648">
        <v>10</v>
      </c>
      <c r="IO24" s="545">
        <v>21</v>
      </c>
      <c r="IP24" s="761">
        <v>21</v>
      </c>
      <c r="IQ24" s="655" t="s">
        <v>410</v>
      </c>
      <c r="IR24" s="769">
        <f t="shared" si="96"/>
        <v>0</v>
      </c>
      <c r="IS24" s="770">
        <f t="shared" si="96"/>
        <v>0</v>
      </c>
      <c r="IT24" s="771">
        <f t="shared" si="96"/>
        <v>0</v>
      </c>
      <c r="IU24" s="991">
        <v>0</v>
      </c>
      <c r="IV24" s="656">
        <f t="shared" si="98"/>
        <v>0</v>
      </c>
      <c r="IW24" s="769">
        <f t="shared" si="99"/>
        <v>0</v>
      </c>
      <c r="IX24" s="769">
        <f t="shared" si="100"/>
        <v>0</v>
      </c>
      <c r="IY24" s="550">
        <f>IT24</f>
        <v>0</v>
      </c>
      <c r="IZ24" s="550">
        <f t="shared" si="128"/>
        <v>0</v>
      </c>
      <c r="JA24" s="769">
        <f t="shared" si="103"/>
        <v>0</v>
      </c>
      <c r="JB24" s="746">
        <f t="shared" si="104"/>
        <v>0</v>
      </c>
      <c r="JF24" s="545">
        <f t="shared" si="123"/>
        <v>21</v>
      </c>
      <c r="JG24" s="761">
        <f t="shared" si="73"/>
        <v>21</v>
      </c>
      <c r="JH24" s="655" t="s">
        <v>410</v>
      </c>
      <c r="JI24" s="656">
        <f>L24</f>
        <v>0</v>
      </c>
      <c r="JJ24" s="756">
        <f t="shared" si="106"/>
        <v>0</v>
      </c>
      <c r="JK24" s="756">
        <v>8.3326989999999999</v>
      </c>
      <c r="JL24" s="647">
        <f t="shared" si="126"/>
        <v>-1</v>
      </c>
      <c r="JM24" s="756">
        <f t="shared" si="108"/>
        <v>-8.3326989999999999</v>
      </c>
      <c r="JN24" s="648">
        <v>10</v>
      </c>
      <c r="JS24" s="756">
        <v>0</v>
      </c>
      <c r="JT24" s="756">
        <f t="shared" si="109"/>
        <v>0</v>
      </c>
      <c r="JU24" s="1009">
        <v>0</v>
      </c>
      <c r="JV24" s="1009">
        <f t="shared" si="110"/>
        <v>0</v>
      </c>
      <c r="JW24" s="978"/>
      <c r="JX24" s="997">
        <v>0</v>
      </c>
      <c r="JY24" s="997">
        <f t="shared" si="111"/>
        <v>0</v>
      </c>
      <c r="JZ24" s="516"/>
      <c r="KA24" s="516"/>
      <c r="KB24" s="516"/>
      <c r="KC24" s="516"/>
      <c r="KE24" s="516"/>
      <c r="KF24" s="516"/>
    </row>
    <row r="25" spans="2:292" ht="16.5" x14ac:dyDescent="0.3">
      <c r="I25" s="222">
        <v>22</v>
      </c>
      <c r="J25" s="659">
        <f t="shared" si="1"/>
        <v>22</v>
      </c>
      <c r="K25" s="660" t="s">
        <v>411</v>
      </c>
      <c r="L25" s="991">
        <v>96077126.310838237</v>
      </c>
      <c r="M25" s="662">
        <f t="shared" si="2"/>
        <v>4.3968550264915231E-2</v>
      </c>
      <c r="N25" s="661">
        <v>1450</v>
      </c>
      <c r="O25" s="661">
        <f t="shared" si="74"/>
        <v>66260.087110922919</v>
      </c>
      <c r="P25" s="662">
        <f t="shared" si="3"/>
        <v>3.7305712394769902E-2</v>
      </c>
      <c r="Q25" s="663" t="s">
        <v>379</v>
      </c>
      <c r="U25" s="551">
        <f t="shared" si="113"/>
        <v>22</v>
      </c>
      <c r="V25" s="670">
        <f t="shared" si="4"/>
        <v>22</v>
      </c>
      <c r="W25" s="660" t="s">
        <v>411</v>
      </c>
      <c r="X25" s="671">
        <f t="shared" si="75"/>
        <v>4498796.0530055314</v>
      </c>
      <c r="Y25" s="662">
        <f t="shared" si="5"/>
        <v>4.6605757622955372E-2</v>
      </c>
      <c r="AC25" s="551">
        <f t="shared" si="114"/>
        <v>22</v>
      </c>
      <c r="AD25" s="681">
        <v>22</v>
      </c>
      <c r="AE25" s="682" t="s">
        <v>411</v>
      </c>
      <c r="AF25" s="683">
        <v>3.68</v>
      </c>
      <c r="AP25" s="551">
        <f t="shared" si="77"/>
        <v>22</v>
      </c>
      <c r="AQ25" s="697">
        <f t="shared" si="6"/>
        <v>22</v>
      </c>
      <c r="AR25" s="660" t="s">
        <v>411</v>
      </c>
      <c r="AS25" s="660">
        <f t="shared" si="7"/>
        <v>3.68</v>
      </c>
      <c r="AT25" s="698">
        <f t="shared" si="78"/>
        <v>96077126.310838237</v>
      </c>
      <c r="AU25" s="698">
        <f t="shared" si="115"/>
        <v>98212.173562190204</v>
      </c>
      <c r="AV25" s="699">
        <f t="shared" si="8"/>
        <v>101419.81003081311</v>
      </c>
      <c r="AW25" s="700">
        <f t="shared" si="9"/>
        <v>21.592508896755891</v>
      </c>
      <c r="AX25" s="671">
        <f t="shared" si="125"/>
        <v>2189908.1503976244</v>
      </c>
      <c r="AY25" s="465">
        <f t="shared" si="79"/>
        <v>5.2273943746727565E-2</v>
      </c>
      <c r="AZ25" s="553">
        <f t="shared" si="10"/>
        <v>2.2793230000000002</v>
      </c>
      <c r="BK25" s="222">
        <f t="shared" si="116"/>
        <v>22</v>
      </c>
      <c r="BL25" s="663">
        <f t="shared" si="11"/>
        <v>22</v>
      </c>
      <c r="BM25" s="660" t="s">
        <v>411</v>
      </c>
      <c r="BN25" s="662">
        <f t="shared" si="80"/>
        <v>5.2273943746727565E-2</v>
      </c>
      <c r="BO25" s="671">
        <f t="shared" si="81"/>
        <v>501135.29023010976</v>
      </c>
      <c r="BP25" s="662">
        <f t="shared" si="82"/>
        <v>4.3968550264915231E-2</v>
      </c>
      <c r="BQ25" s="671">
        <f t="shared" si="83"/>
        <v>421513.86749703268</v>
      </c>
      <c r="BR25" s="710">
        <f t="shared" si="12"/>
        <v>922649.15772714245</v>
      </c>
      <c r="BS25" s="711">
        <f t="shared" si="13"/>
        <v>0.96032099999999998</v>
      </c>
      <c r="BV25" s="15"/>
      <c r="BW25" s="190"/>
      <c r="BX25" s="190"/>
      <c r="BY25" s="190"/>
      <c r="BZ25" s="190"/>
      <c r="CA25" s="190"/>
      <c r="CB25" s="190"/>
      <c r="CC25" s="190"/>
      <c r="CD25" s="190"/>
      <c r="CH25" s="222">
        <f t="shared" si="117"/>
        <v>22</v>
      </c>
      <c r="CI25" s="681">
        <f t="shared" si="15"/>
        <v>22</v>
      </c>
      <c r="CJ25" s="660" t="s">
        <v>411</v>
      </c>
      <c r="CK25" s="723">
        <f t="shared" si="16"/>
        <v>4.3968550264915231E-2</v>
      </c>
      <c r="CL25" s="650">
        <f t="shared" si="17"/>
        <v>257732.1560512048</v>
      </c>
      <c r="CM25" s="723">
        <f t="shared" si="18"/>
        <v>3.7305712394769902E-2</v>
      </c>
      <c r="CN25" s="650">
        <f t="shared" si="19"/>
        <v>716716.52401248226</v>
      </c>
      <c r="CO25" s="650">
        <f t="shared" si="20"/>
        <v>974448.68006368703</v>
      </c>
      <c r="CP25" s="723">
        <f t="shared" si="21"/>
        <v>3.8863352035107199E-2</v>
      </c>
      <c r="CQ25" s="724">
        <f t="shared" si="22"/>
        <v>1.0142359999999999</v>
      </c>
      <c r="DD25" s="15"/>
      <c r="DG25" s="551">
        <f t="shared" si="118"/>
        <v>22</v>
      </c>
      <c r="DH25" s="677">
        <f t="shared" si="24"/>
        <v>22</v>
      </c>
      <c r="DI25" s="660" t="s">
        <v>411</v>
      </c>
      <c r="DJ25" s="723">
        <f t="shared" si="25"/>
        <v>3.8863352035107199E-2</v>
      </c>
      <c r="DK25" s="650">
        <f t="shared" si="84"/>
        <v>14639.620079617716</v>
      </c>
      <c r="DL25" s="723">
        <f t="shared" si="26"/>
        <v>3.7305712394769902E-2</v>
      </c>
      <c r="DM25" s="650">
        <f t="shared" si="27"/>
        <v>91329.439215093284</v>
      </c>
      <c r="DN25" s="723">
        <f t="shared" si="28"/>
        <v>4.3968550264915231E-2</v>
      </c>
      <c r="DO25" s="650">
        <f t="shared" si="29"/>
        <v>156038.40576369283</v>
      </c>
      <c r="DP25" s="650">
        <f t="shared" si="85"/>
        <v>262007.46505840385</v>
      </c>
      <c r="DQ25" s="723">
        <f t="shared" si="30"/>
        <v>4.1107629966825709E-2</v>
      </c>
      <c r="DR25" s="724">
        <f t="shared" si="31"/>
        <v>0.27270499999999998</v>
      </c>
      <c r="DV25" s="551">
        <f t="shared" si="119"/>
        <v>22</v>
      </c>
      <c r="DW25" s="677">
        <f t="shared" si="32"/>
        <v>22</v>
      </c>
      <c r="DX25" s="660" t="s">
        <v>411</v>
      </c>
      <c r="DY25" s="723">
        <f t="shared" si="33"/>
        <v>3.7305712394769902E-2</v>
      </c>
      <c r="DZ25" s="650">
        <f t="shared" si="34"/>
        <v>149782.59975867366</v>
      </c>
      <c r="EA25" s="724">
        <f t="shared" si="35"/>
        <v>0.15589800000000001</v>
      </c>
      <c r="EM25" s="551">
        <f t="shared" si="120"/>
        <v>22</v>
      </c>
      <c r="EN25" s="677">
        <f t="shared" si="36"/>
        <v>22</v>
      </c>
      <c r="EO25" s="660" t="s">
        <v>411</v>
      </c>
      <c r="EP25" s="723">
        <f t="shared" si="37"/>
        <v>4.6605757622955372E-2</v>
      </c>
      <c r="EQ25" s="650">
        <f t="shared" si="38"/>
        <v>364821.44321872853</v>
      </c>
      <c r="ER25" s="723">
        <f t="shared" si="39"/>
        <v>3.8863352035107199E-2</v>
      </c>
      <c r="ES25" s="650">
        <f t="shared" si="40"/>
        <v>39269.098489292941</v>
      </c>
      <c r="ET25" s="723">
        <f t="shared" si="41"/>
        <v>4.3968550264915231E-2</v>
      </c>
      <c r="EU25" s="650">
        <f t="shared" si="42"/>
        <v>188071.54470724781</v>
      </c>
      <c r="EV25" s="650">
        <f t="shared" si="43"/>
        <v>592162.0864152693</v>
      </c>
      <c r="EW25" s="723">
        <f t="shared" si="44"/>
        <v>4.5149205460891455E-2</v>
      </c>
      <c r="EX25" s="724">
        <f t="shared" si="45"/>
        <v>0.61634</v>
      </c>
      <c r="FH25" s="551">
        <f t="shared" si="121"/>
        <v>22</v>
      </c>
      <c r="FI25" s="670">
        <f t="shared" si="46"/>
        <v>22</v>
      </c>
      <c r="FJ25" s="660" t="s">
        <v>411</v>
      </c>
      <c r="FK25" s="723">
        <f t="shared" si="47"/>
        <v>4.6605757622955372E-2</v>
      </c>
      <c r="FL25" s="650">
        <f t="shared" si="48"/>
        <v>915581.48240579711</v>
      </c>
      <c r="FM25" s="724">
        <f t="shared" si="49"/>
        <v>0.95296499999999995</v>
      </c>
      <c r="FQ25" s="222">
        <v>22</v>
      </c>
      <c r="FR25" s="670">
        <v>22</v>
      </c>
      <c r="FS25" s="660" t="s">
        <v>411</v>
      </c>
      <c r="FT25" s="650">
        <f t="shared" si="50"/>
        <v>2189908.1503976244</v>
      </c>
      <c r="FU25" s="650">
        <f t="shared" si="51"/>
        <v>922649.15772714245</v>
      </c>
      <c r="FV25" s="650">
        <f t="shared" si="52"/>
        <v>974448.68006368703</v>
      </c>
      <c r="FW25" s="650">
        <f t="shared" si="87"/>
        <v>262007.46505840385</v>
      </c>
      <c r="FX25" s="650">
        <f t="shared" si="53"/>
        <v>149782.59975867366</v>
      </c>
      <c r="FY25" s="650">
        <f t="shared" si="54"/>
        <v>592162.0864152693</v>
      </c>
      <c r="FZ25" s="650">
        <f t="shared" si="55"/>
        <v>915581.48240579711</v>
      </c>
      <c r="GA25" s="650">
        <f t="shared" ref="GA25:GA27" si="129">SUM(FT25:FZ25)</f>
        <v>6006539.6218265984</v>
      </c>
      <c r="GB25" s="747">
        <f t="shared" si="57"/>
        <v>6.2517889999999996</v>
      </c>
      <c r="GF25" s="551">
        <f t="shared" si="88"/>
        <v>22</v>
      </c>
      <c r="GG25" s="670">
        <f t="shared" si="58"/>
        <v>22</v>
      </c>
      <c r="GH25" s="660" t="s">
        <v>411</v>
      </c>
      <c r="GI25" s="724">
        <f t="shared" si="59"/>
        <v>2.2793230000000002</v>
      </c>
      <c r="GJ25" s="724">
        <f t="shared" si="60"/>
        <v>0.96032099999999998</v>
      </c>
      <c r="GK25" s="724">
        <f t="shared" si="61"/>
        <v>1.0142359999999999</v>
      </c>
      <c r="GL25" s="724">
        <f t="shared" si="62"/>
        <v>0.27270499999999998</v>
      </c>
      <c r="GM25" s="724">
        <f t="shared" si="63"/>
        <v>0.15589800000000001</v>
      </c>
      <c r="GN25" s="724">
        <f t="shared" si="64"/>
        <v>0.61634</v>
      </c>
      <c r="GO25" s="724">
        <f t="shared" si="65"/>
        <v>0.95296499999999995</v>
      </c>
      <c r="GP25" s="724">
        <f t="shared" si="66"/>
        <v>6.2517889999999996</v>
      </c>
      <c r="GQ25" s="661">
        <f t="shared" si="89"/>
        <v>96077126.310838237</v>
      </c>
      <c r="GR25" s="530"/>
      <c r="GU25" s="222">
        <f t="shared" si="90"/>
        <v>22</v>
      </c>
      <c r="GV25" s="670">
        <f t="shared" si="67"/>
        <v>22</v>
      </c>
      <c r="GW25" s="660" t="s">
        <v>411</v>
      </c>
      <c r="GX25" s="663" t="s">
        <v>379</v>
      </c>
      <c r="GY25" s="671">
        <f t="shared" si="68"/>
        <v>6006539.6218265984</v>
      </c>
      <c r="GZ25" s="661">
        <f t="shared" si="69"/>
        <v>96077126.310838237</v>
      </c>
      <c r="HA25" s="724">
        <f t="shared" si="91"/>
        <v>6.2517889999999996</v>
      </c>
      <c r="HB25" s="650">
        <f t="shared" si="70"/>
        <v>6006539.214217091</v>
      </c>
      <c r="HC25" s="750">
        <f t="shared" si="71"/>
        <v>-0.40760950744152069</v>
      </c>
      <c r="HD25" s="549"/>
      <c r="HG25" s="549"/>
      <c r="HH25" s="549"/>
      <c r="HI25" s="549"/>
      <c r="HJ25" s="549"/>
      <c r="HK25" s="549"/>
      <c r="HL25" s="549"/>
      <c r="HM25" s="549"/>
      <c r="HP25" s="551">
        <f t="shared" si="122"/>
        <v>22</v>
      </c>
      <c r="HQ25" s="762">
        <f t="shared" si="72"/>
        <v>22</v>
      </c>
      <c r="HR25" s="660" t="s">
        <v>411</v>
      </c>
      <c r="HS25" s="661">
        <f t="shared" si="92"/>
        <v>96077126.310838237</v>
      </c>
      <c r="HT25" s="757">
        <f t="shared" si="93"/>
        <v>6.2517889999999996</v>
      </c>
      <c r="HU25" s="757">
        <v>5.4577720000000003</v>
      </c>
      <c r="HV25" s="651">
        <f t="shared" si="94"/>
        <v>0.14548372486062067</v>
      </c>
      <c r="HW25" s="757">
        <f t="shared" si="95"/>
        <v>0.79401699999999931</v>
      </c>
      <c r="HX25" s="652">
        <v>10</v>
      </c>
      <c r="IO25" s="551">
        <v>22</v>
      </c>
      <c r="IP25" s="762">
        <v>22</v>
      </c>
      <c r="IQ25" s="660" t="s">
        <v>411</v>
      </c>
      <c r="IR25" s="772">
        <f t="shared" si="96"/>
        <v>6006539.6218265984</v>
      </c>
      <c r="IS25" s="773">
        <f t="shared" si="96"/>
        <v>96077126.310838237</v>
      </c>
      <c r="IT25" s="774">
        <f t="shared" si="96"/>
        <v>6.2517889999999996</v>
      </c>
      <c r="IU25" s="661">
        <f t="shared" si="97"/>
        <v>14106626.635723932</v>
      </c>
      <c r="IV25" s="661">
        <f t="shared" si="98"/>
        <v>81970499.675114304</v>
      </c>
      <c r="IW25" s="772">
        <f t="shared" si="99"/>
        <v>211599.39953585897</v>
      </c>
      <c r="IX25" s="772">
        <f t="shared" si="100"/>
        <v>5794940.2222907394</v>
      </c>
      <c r="IY25" s="455">
        <f t="shared" si="101"/>
        <v>6.0315503229586351</v>
      </c>
      <c r="IZ25" s="455">
        <f>IY25+1.5</f>
        <v>7.5315503229586351</v>
      </c>
      <c r="JA25" s="772">
        <f t="shared" si="103"/>
        <v>6006539.6218265984</v>
      </c>
      <c r="JB25" s="747">
        <f t="shared" si="104"/>
        <v>0.22023867704136446</v>
      </c>
      <c r="JF25" s="551">
        <f t="shared" si="123"/>
        <v>22</v>
      </c>
      <c r="JG25" s="762">
        <f t="shared" si="73"/>
        <v>22</v>
      </c>
      <c r="JH25" s="660" t="s">
        <v>411</v>
      </c>
      <c r="JI25" s="661">
        <f t="shared" si="105"/>
        <v>96077126.310838237</v>
      </c>
      <c r="JJ25" s="757">
        <f t="shared" si="106"/>
        <v>6.0315503229586351</v>
      </c>
      <c r="JK25" s="757">
        <v>5.2355386918523079</v>
      </c>
      <c r="JL25" s="651">
        <f t="shared" si="126"/>
        <v>0.15204006272460613</v>
      </c>
      <c r="JM25" s="757">
        <f t="shared" si="108"/>
        <v>0.79601163110632722</v>
      </c>
      <c r="JN25" s="652">
        <v>10</v>
      </c>
      <c r="JS25" s="757">
        <v>6.0364948878303935</v>
      </c>
      <c r="JT25" s="757"/>
      <c r="JU25" s="1010">
        <v>95127152</v>
      </c>
      <c r="JV25" s="1010">
        <f t="shared" si="110"/>
        <v>-949974.3108382374</v>
      </c>
      <c r="JW25" s="978">
        <f t="shared" si="124"/>
        <v>0</v>
      </c>
      <c r="JX25" s="997">
        <v>5742345.6674186476</v>
      </c>
      <c r="JY25" s="997">
        <f t="shared" si="111"/>
        <v>5794940.2222907403</v>
      </c>
      <c r="JZ25" s="516"/>
      <c r="KA25" s="516"/>
      <c r="KB25" s="516"/>
      <c r="KC25" s="516"/>
      <c r="KE25" s="516"/>
      <c r="KF25" s="516"/>
    </row>
    <row r="26" spans="2:292" ht="16.5" x14ac:dyDescent="0.3">
      <c r="I26" s="543">
        <v>23</v>
      </c>
      <c r="J26" s="654">
        <f t="shared" si="1"/>
        <v>23</v>
      </c>
      <c r="K26" s="655" t="s">
        <v>412</v>
      </c>
      <c r="L26" s="991">
        <v>489782.49384041794</v>
      </c>
      <c r="M26" s="657">
        <f t="shared" si="2"/>
        <v>2.2414311320704682E-4</v>
      </c>
      <c r="N26" s="656">
        <v>243</v>
      </c>
      <c r="O26" s="656">
        <f t="shared" si="74"/>
        <v>2015.5658182733248</v>
      </c>
      <c r="P26" s="657">
        <f t="shared" si="3"/>
        <v>1.1348025939561187E-3</v>
      </c>
      <c r="Q26" s="658" t="s">
        <v>379</v>
      </c>
      <c r="U26" s="545">
        <f t="shared" si="113"/>
        <v>23</v>
      </c>
      <c r="V26" s="669">
        <f t="shared" si="4"/>
        <v>23</v>
      </c>
      <c r="W26" s="655" t="s">
        <v>412</v>
      </c>
      <c r="X26" s="646">
        <f t="shared" si="75"/>
        <v>71057.167991449052</v>
      </c>
      <c r="Y26" s="657">
        <f t="shared" si="5"/>
        <v>7.3612431187465197E-4</v>
      </c>
      <c r="AC26" s="545">
        <f t="shared" si="114"/>
        <v>23</v>
      </c>
      <c r="AD26" s="678">
        <v>23</v>
      </c>
      <c r="AE26" s="679" t="s">
        <v>412</v>
      </c>
      <c r="AF26" s="680">
        <v>10.01</v>
      </c>
      <c r="AP26" s="545">
        <f t="shared" si="77"/>
        <v>23</v>
      </c>
      <c r="AQ26" s="693">
        <f t="shared" si="6"/>
        <v>23</v>
      </c>
      <c r="AR26" s="655" t="s">
        <v>412</v>
      </c>
      <c r="AS26" s="655">
        <f t="shared" si="7"/>
        <v>10.01</v>
      </c>
      <c r="AT26" s="694">
        <f t="shared" si="78"/>
        <v>489782.49384041794</v>
      </c>
      <c r="AU26" s="694">
        <f t="shared" si="115"/>
        <v>1361.8674342618287</v>
      </c>
      <c r="AV26" s="695">
        <f t="shared" si="8"/>
        <v>1406.3463973997536</v>
      </c>
      <c r="AW26" s="696">
        <f t="shared" si="9"/>
        <v>21.592508896755891</v>
      </c>
      <c r="AX26" s="646">
        <f t="shared" si="125"/>
        <v>30366.547097774775</v>
      </c>
      <c r="AY26" s="544">
        <f t="shared" si="79"/>
        <v>7.2486107441684685E-4</v>
      </c>
      <c r="AZ26" s="548">
        <f t="shared" si="10"/>
        <v>6.2000070000000003</v>
      </c>
      <c r="BK26" s="543">
        <f t="shared" si="116"/>
        <v>23</v>
      </c>
      <c r="BL26" s="658">
        <f t="shared" si="11"/>
        <v>23</v>
      </c>
      <c r="BM26" s="655" t="s">
        <v>412</v>
      </c>
      <c r="BN26" s="657">
        <f t="shared" si="80"/>
        <v>7.2486107441684685E-4</v>
      </c>
      <c r="BO26" s="646">
        <f t="shared" si="81"/>
        <v>6949.0350042153841</v>
      </c>
      <c r="BP26" s="657">
        <f t="shared" si="82"/>
        <v>2.2414311320704682E-4</v>
      </c>
      <c r="BQ26" s="646">
        <f t="shared" si="83"/>
        <v>2148.7956721674659</v>
      </c>
      <c r="BR26" s="708">
        <f t="shared" si="12"/>
        <v>9097.8306763828496</v>
      </c>
      <c r="BS26" s="709">
        <f t="shared" si="13"/>
        <v>1.8575250000000001</v>
      </c>
      <c r="BV26" s="15"/>
      <c r="BW26" s="190"/>
      <c r="BX26" s="190"/>
      <c r="BY26" s="190"/>
      <c r="BZ26" s="190"/>
      <c r="CA26" s="190"/>
      <c r="CB26" s="190"/>
      <c r="CC26" s="190"/>
      <c r="CD26" s="190"/>
      <c r="CH26" s="543">
        <f t="shared" si="117"/>
        <v>23</v>
      </c>
      <c r="CI26" s="678">
        <f t="shared" si="15"/>
        <v>23</v>
      </c>
      <c r="CJ26" s="655" t="s">
        <v>412</v>
      </c>
      <c r="CK26" s="657">
        <f t="shared" si="16"/>
        <v>2.2414311320704682E-4</v>
      </c>
      <c r="CL26" s="646">
        <f t="shared" si="17"/>
        <v>1313.8683782571341</v>
      </c>
      <c r="CM26" s="657">
        <f t="shared" si="18"/>
        <v>1.1348025939561187E-3</v>
      </c>
      <c r="CN26" s="646">
        <f t="shared" si="19"/>
        <v>21801.802414972866</v>
      </c>
      <c r="CO26" s="646">
        <f t="shared" si="20"/>
        <v>23115.670793230001</v>
      </c>
      <c r="CP26" s="657">
        <f t="shared" si="21"/>
        <v>9.219084287807025E-4</v>
      </c>
      <c r="CQ26" s="709">
        <f t="shared" si="22"/>
        <v>4.7195790000000004</v>
      </c>
      <c r="DD26" s="15"/>
      <c r="DG26" s="545">
        <f t="shared" si="118"/>
        <v>23</v>
      </c>
      <c r="DH26" s="739">
        <f t="shared" si="24"/>
        <v>23</v>
      </c>
      <c r="DI26" s="655" t="s">
        <v>412</v>
      </c>
      <c r="DJ26" s="657">
        <f t="shared" si="25"/>
        <v>9.219084287807025E-4</v>
      </c>
      <c r="DK26" s="646">
        <f t="shared" si="84"/>
        <v>347.27805088338317</v>
      </c>
      <c r="DL26" s="657">
        <f t="shared" si="26"/>
        <v>1.1348025939561187E-3</v>
      </c>
      <c r="DM26" s="646">
        <f t="shared" si="27"/>
        <v>2778.1505263621648</v>
      </c>
      <c r="DN26" s="657">
        <f t="shared" si="28"/>
        <v>2.2414311320704682E-4</v>
      </c>
      <c r="DO26" s="646">
        <f t="shared" si="29"/>
        <v>795.45342834846224</v>
      </c>
      <c r="DP26" s="646">
        <f t="shared" si="85"/>
        <v>3920.88200559401</v>
      </c>
      <c r="DQ26" s="657">
        <f t="shared" si="30"/>
        <v>6.151663144163314E-4</v>
      </c>
      <c r="DR26" s="709">
        <f t="shared" si="31"/>
        <v>0.800535</v>
      </c>
      <c r="DV26" s="545">
        <f t="shared" si="119"/>
        <v>23</v>
      </c>
      <c r="DW26" s="739">
        <f t="shared" si="32"/>
        <v>23</v>
      </c>
      <c r="DX26" s="655" t="s">
        <v>412</v>
      </c>
      <c r="DY26" s="657">
        <f t="shared" si="33"/>
        <v>1.1348025939561187E-3</v>
      </c>
      <c r="DZ26" s="646">
        <f t="shared" si="34"/>
        <v>4556.2374184674072</v>
      </c>
      <c r="EA26" s="709">
        <f t="shared" si="35"/>
        <v>0.930257</v>
      </c>
      <c r="EM26" s="545">
        <f t="shared" si="120"/>
        <v>23</v>
      </c>
      <c r="EN26" s="739">
        <f t="shared" si="36"/>
        <v>23</v>
      </c>
      <c r="EO26" s="655" t="s">
        <v>412</v>
      </c>
      <c r="EP26" s="657">
        <f t="shared" si="37"/>
        <v>7.3612431187465197E-4</v>
      </c>
      <c r="EQ26" s="646">
        <f t="shared" si="38"/>
        <v>5762.2480041871358</v>
      </c>
      <c r="ER26" s="657">
        <f t="shared" si="39"/>
        <v>9.219084287807025E-4</v>
      </c>
      <c r="ES26" s="646">
        <f t="shared" si="40"/>
        <v>931.53346255863835</v>
      </c>
      <c r="ET26" s="657">
        <f t="shared" si="41"/>
        <v>2.2414311320704682E-4</v>
      </c>
      <c r="EU26" s="646">
        <f t="shared" si="42"/>
        <v>958.75213720608861</v>
      </c>
      <c r="EV26" s="646">
        <f t="shared" si="43"/>
        <v>7652.5336039518625</v>
      </c>
      <c r="EW26" s="657">
        <f t="shared" si="44"/>
        <v>5.8346493284087714E-4</v>
      </c>
      <c r="EX26" s="709">
        <f t="shared" si="45"/>
        <v>1.562435</v>
      </c>
      <c r="FH26" s="545">
        <f t="shared" si="121"/>
        <v>23</v>
      </c>
      <c r="FI26" s="669">
        <f t="shared" si="46"/>
        <v>23</v>
      </c>
      <c r="FJ26" s="655" t="s">
        <v>412</v>
      </c>
      <c r="FK26" s="657">
        <f t="shared" si="47"/>
        <v>7.3612431187465197E-4</v>
      </c>
      <c r="FL26" s="646">
        <f>Y26*$FL$28</f>
        <v>14461.341754246598</v>
      </c>
      <c r="FM26" s="709">
        <f t="shared" si="49"/>
        <v>2.9526050000000001</v>
      </c>
      <c r="FQ26" s="543">
        <v>23</v>
      </c>
      <c r="FR26" s="669">
        <v>23</v>
      </c>
      <c r="FS26" s="655" t="s">
        <v>412</v>
      </c>
      <c r="FT26" s="646">
        <f t="shared" si="50"/>
        <v>30366.547097774775</v>
      </c>
      <c r="FU26" s="646">
        <f t="shared" si="51"/>
        <v>9097.8306763828496</v>
      </c>
      <c r="FV26" s="646">
        <f t="shared" si="52"/>
        <v>23115.670793230001</v>
      </c>
      <c r="FW26" s="646">
        <f t="shared" si="87"/>
        <v>3920.88200559401</v>
      </c>
      <c r="FX26" s="646">
        <f t="shared" si="53"/>
        <v>4556.2374184674072</v>
      </c>
      <c r="FY26" s="646">
        <f t="shared" si="54"/>
        <v>7652.5336039518625</v>
      </c>
      <c r="FZ26" s="646">
        <f t="shared" si="55"/>
        <v>14461.341754246598</v>
      </c>
      <c r="GA26" s="646">
        <f t="shared" si="129"/>
        <v>93171.043349647516</v>
      </c>
      <c r="GB26" s="746">
        <f t="shared" si="57"/>
        <v>19.022943000000001</v>
      </c>
      <c r="GF26" s="545">
        <f t="shared" si="88"/>
        <v>23</v>
      </c>
      <c r="GG26" s="669">
        <f t="shared" si="58"/>
        <v>23</v>
      </c>
      <c r="GH26" s="655" t="s">
        <v>412</v>
      </c>
      <c r="GI26" s="709">
        <f t="shared" si="59"/>
        <v>6.2000070000000003</v>
      </c>
      <c r="GJ26" s="709">
        <f t="shared" si="60"/>
        <v>1.8575250000000001</v>
      </c>
      <c r="GK26" s="709">
        <f t="shared" si="61"/>
        <v>4.7195790000000004</v>
      </c>
      <c r="GL26" s="709">
        <f t="shared" si="62"/>
        <v>0.800535</v>
      </c>
      <c r="GM26" s="709">
        <f t="shared" si="63"/>
        <v>0.930257</v>
      </c>
      <c r="GN26" s="709">
        <f t="shared" si="64"/>
        <v>1.562435</v>
      </c>
      <c r="GO26" s="709">
        <f t="shared" si="65"/>
        <v>2.9526050000000001</v>
      </c>
      <c r="GP26" s="709">
        <f t="shared" si="66"/>
        <v>19.022943000000001</v>
      </c>
      <c r="GQ26" s="656">
        <f t="shared" si="89"/>
        <v>489782.49384041794</v>
      </c>
      <c r="GR26" s="530"/>
      <c r="GU26" s="543">
        <f t="shared" si="90"/>
        <v>23</v>
      </c>
      <c r="GV26" s="669">
        <f t="shared" si="67"/>
        <v>23</v>
      </c>
      <c r="GW26" s="655" t="s">
        <v>412</v>
      </c>
      <c r="GX26" s="658" t="s">
        <v>379</v>
      </c>
      <c r="GY26" s="646">
        <f t="shared" si="68"/>
        <v>93171.043349647516</v>
      </c>
      <c r="GZ26" s="656">
        <f t="shared" si="69"/>
        <v>489782.49384041794</v>
      </c>
      <c r="HA26" s="709">
        <f t="shared" si="91"/>
        <v>19.022943000000001</v>
      </c>
      <c r="HB26" s="646">
        <f t="shared" si="70"/>
        <v>93171.044627241237</v>
      </c>
      <c r="HC26" s="749">
        <f t="shared" si="71"/>
        <v>1.2775937211699784E-3</v>
      </c>
      <c r="HD26" s="549"/>
      <c r="HG26" s="549"/>
      <c r="HH26" s="549"/>
      <c r="HI26" s="549"/>
      <c r="HJ26" s="549"/>
      <c r="HK26" s="549"/>
      <c r="HL26" s="549"/>
      <c r="HM26" s="549"/>
      <c r="HP26" s="545">
        <f t="shared" si="122"/>
        <v>23</v>
      </c>
      <c r="HQ26" s="761">
        <f t="shared" si="72"/>
        <v>23</v>
      </c>
      <c r="HR26" s="655" t="s">
        <v>412</v>
      </c>
      <c r="HS26" s="656">
        <f t="shared" si="92"/>
        <v>489782.49384041794</v>
      </c>
      <c r="HT26" s="756">
        <f t="shared" si="93"/>
        <v>19.022943000000001</v>
      </c>
      <c r="HU26" s="756">
        <v>16.893163000000001</v>
      </c>
      <c r="HV26" s="647">
        <f t="shared" si="94"/>
        <v>0.12607348902038051</v>
      </c>
      <c r="HW26" s="756">
        <f t="shared" si="95"/>
        <v>2.1297800000000002</v>
      </c>
      <c r="HX26" s="648">
        <v>25</v>
      </c>
      <c r="IO26" s="545">
        <v>23</v>
      </c>
      <c r="IP26" s="761">
        <v>23</v>
      </c>
      <c r="IQ26" s="655" t="s">
        <v>412</v>
      </c>
      <c r="IR26" s="769">
        <f t="shared" si="96"/>
        <v>93171.043349647516</v>
      </c>
      <c r="IS26" s="770">
        <f t="shared" si="96"/>
        <v>489782.49384041794</v>
      </c>
      <c r="IT26" s="771">
        <f t="shared" si="96"/>
        <v>19.022943000000001</v>
      </c>
      <c r="IU26" s="656">
        <f t="shared" si="97"/>
        <v>71912.837515219522</v>
      </c>
      <c r="IV26" s="656">
        <f t="shared" si="98"/>
        <v>417869.65632519842</v>
      </c>
      <c r="IW26" s="769">
        <f t="shared" si="99"/>
        <v>1078.6925627282928</v>
      </c>
      <c r="IX26" s="769">
        <f t="shared" si="100"/>
        <v>92092.350786919225</v>
      </c>
      <c r="IY26" s="550">
        <f>IX26/IS26*100</f>
        <v>18.802703637857046</v>
      </c>
      <c r="IZ26" s="550">
        <f t="shared" si="102"/>
        <v>20.302703637857046</v>
      </c>
      <c r="JA26" s="769">
        <f t="shared" si="103"/>
        <v>93171.043349647516</v>
      </c>
      <c r="JB26" s="746">
        <f t="shared" si="104"/>
        <v>0.22023936214295503</v>
      </c>
      <c r="JF26" s="545">
        <f t="shared" si="123"/>
        <v>23</v>
      </c>
      <c r="JG26" s="761">
        <f t="shared" si="73"/>
        <v>23</v>
      </c>
      <c r="JH26" s="655" t="s">
        <v>412</v>
      </c>
      <c r="JI26" s="656">
        <f t="shared" si="105"/>
        <v>489782.49384041794</v>
      </c>
      <c r="JJ26" s="756">
        <f t="shared" si="106"/>
        <v>18.802703637857046</v>
      </c>
      <c r="JK26" s="756">
        <v>16.670930182281545</v>
      </c>
      <c r="JL26" s="647">
        <f t="shared" si="126"/>
        <v>0.12787369584459207</v>
      </c>
      <c r="JM26" s="756">
        <f t="shared" si="108"/>
        <v>2.1317734555755017</v>
      </c>
      <c r="JN26" s="648">
        <v>25</v>
      </c>
      <c r="JS26" s="756">
        <v>18.824630250058792</v>
      </c>
      <c r="JT26" s="756">
        <f t="shared" si="109"/>
        <v>-2.1926612201745854E-2</v>
      </c>
      <c r="JU26" s="1009">
        <v>554610</v>
      </c>
      <c r="JV26" s="1009">
        <f t="shared" si="110"/>
        <v>64827.506159582059</v>
      </c>
      <c r="JW26" s="978">
        <f t="shared" si="124"/>
        <v>-1.1647831543292796E-3</v>
      </c>
      <c r="JX26" s="997">
        <v>104403.28182985107</v>
      </c>
      <c r="JY26" s="997">
        <f t="shared" si="111"/>
        <v>92092.350786919225</v>
      </c>
      <c r="JZ26" s="516"/>
      <c r="KA26" s="516"/>
      <c r="KB26" s="516"/>
      <c r="KC26" s="516"/>
      <c r="KE26" s="516"/>
      <c r="KF26" s="516"/>
    </row>
    <row r="27" spans="2:292" ht="17.25" thickBot="1" x14ac:dyDescent="0.35">
      <c r="I27" s="297">
        <v>24</v>
      </c>
      <c r="J27" s="664">
        <f t="shared" si="1"/>
        <v>24</v>
      </c>
      <c r="K27" s="665" t="s">
        <v>413</v>
      </c>
      <c r="L27" s="992"/>
      <c r="M27" s="667">
        <f t="shared" si="2"/>
        <v>0</v>
      </c>
      <c r="N27" s="666">
        <v>546</v>
      </c>
      <c r="O27" s="666">
        <f t="shared" si="74"/>
        <v>0</v>
      </c>
      <c r="P27" s="667">
        <f t="shared" si="3"/>
        <v>0</v>
      </c>
      <c r="Q27" s="668" t="s">
        <v>384</v>
      </c>
      <c r="U27" s="580">
        <f t="shared" si="113"/>
        <v>24</v>
      </c>
      <c r="V27" s="672">
        <f t="shared" si="4"/>
        <v>24</v>
      </c>
      <c r="W27" s="665" t="s">
        <v>413</v>
      </c>
      <c r="X27" s="673">
        <f t="shared" si="75"/>
        <v>0</v>
      </c>
      <c r="Y27" s="667">
        <f t="shared" si="5"/>
        <v>0</v>
      </c>
      <c r="AC27" s="570">
        <f t="shared" si="114"/>
        <v>24</v>
      </c>
      <c r="AD27" s="684">
        <v>24</v>
      </c>
      <c r="AE27" s="685" t="s">
        <v>413</v>
      </c>
      <c r="AF27" s="686">
        <v>5.4</v>
      </c>
      <c r="AP27" s="580">
        <f t="shared" si="77"/>
        <v>24</v>
      </c>
      <c r="AQ27" s="701">
        <f t="shared" si="6"/>
        <v>24</v>
      </c>
      <c r="AR27" s="665" t="s">
        <v>413</v>
      </c>
      <c r="AS27" s="665">
        <f t="shared" si="7"/>
        <v>5.4</v>
      </c>
      <c r="AT27" s="702">
        <f t="shared" si="78"/>
        <v>0</v>
      </c>
      <c r="AU27" s="702">
        <f t="shared" si="115"/>
        <v>0</v>
      </c>
      <c r="AV27" s="703">
        <f t="shared" si="8"/>
        <v>0</v>
      </c>
      <c r="AW27" s="704">
        <f t="shared" si="9"/>
        <v>21.592508896755891</v>
      </c>
      <c r="AX27" s="673">
        <f t="shared" si="125"/>
        <v>0</v>
      </c>
      <c r="AY27" s="554">
        <f t="shared" si="79"/>
        <v>0</v>
      </c>
      <c r="AZ27" s="581">
        <f t="shared" si="10"/>
        <v>0</v>
      </c>
      <c r="BD27" s="15"/>
      <c r="BE27" s="15"/>
      <c r="BF27" s="15"/>
      <c r="BG27" s="15"/>
      <c r="BK27" s="297">
        <f t="shared" si="116"/>
        <v>24</v>
      </c>
      <c r="BL27" s="668">
        <f t="shared" si="11"/>
        <v>24</v>
      </c>
      <c r="BM27" s="665" t="s">
        <v>413</v>
      </c>
      <c r="BN27" s="667">
        <f t="shared" si="80"/>
        <v>0</v>
      </c>
      <c r="BO27" s="673">
        <f t="shared" si="81"/>
        <v>0</v>
      </c>
      <c r="BP27" s="667">
        <f t="shared" si="82"/>
        <v>0</v>
      </c>
      <c r="BQ27" s="673">
        <f t="shared" si="83"/>
        <v>0</v>
      </c>
      <c r="BR27" s="712">
        <f t="shared" si="12"/>
        <v>0</v>
      </c>
      <c r="BS27" s="713">
        <f t="shared" si="13"/>
        <v>0</v>
      </c>
      <c r="BV27" s="15"/>
      <c r="BW27" s="190"/>
      <c r="BX27" s="190"/>
      <c r="BY27" s="190"/>
      <c r="BZ27" s="190"/>
      <c r="CA27" s="190"/>
      <c r="CB27" s="190"/>
      <c r="CC27" s="190"/>
      <c r="CD27" s="190"/>
      <c r="CH27" s="297">
        <f t="shared" si="117"/>
        <v>24</v>
      </c>
      <c r="CI27" s="725">
        <f t="shared" si="15"/>
        <v>24</v>
      </c>
      <c r="CJ27" s="665" t="s">
        <v>413</v>
      </c>
      <c r="CK27" s="726">
        <f t="shared" si="16"/>
        <v>0</v>
      </c>
      <c r="CL27" s="727">
        <f t="shared" si="17"/>
        <v>0</v>
      </c>
      <c r="CM27" s="726">
        <f t="shared" si="18"/>
        <v>0</v>
      </c>
      <c r="CN27" s="727">
        <f t="shared" si="19"/>
        <v>0</v>
      </c>
      <c r="CO27" s="727">
        <f t="shared" si="20"/>
        <v>0</v>
      </c>
      <c r="CP27" s="726">
        <f t="shared" si="21"/>
        <v>0</v>
      </c>
      <c r="CQ27" s="728">
        <f t="shared" si="22"/>
        <v>0</v>
      </c>
      <c r="DD27" s="15"/>
      <c r="DG27" s="580">
        <f t="shared" si="118"/>
        <v>24</v>
      </c>
      <c r="DH27" s="740">
        <f t="shared" si="24"/>
        <v>24</v>
      </c>
      <c r="DI27" s="665" t="s">
        <v>413</v>
      </c>
      <c r="DJ27" s="726">
        <f t="shared" si="25"/>
        <v>0</v>
      </c>
      <c r="DK27" s="727">
        <f t="shared" si="84"/>
        <v>0</v>
      </c>
      <c r="DL27" s="726">
        <f t="shared" si="26"/>
        <v>0</v>
      </c>
      <c r="DM27" s="727">
        <f t="shared" si="27"/>
        <v>0</v>
      </c>
      <c r="DN27" s="726">
        <f t="shared" si="28"/>
        <v>0</v>
      </c>
      <c r="DO27" s="727">
        <f t="shared" si="29"/>
        <v>0</v>
      </c>
      <c r="DP27" s="727">
        <f t="shared" si="85"/>
        <v>0</v>
      </c>
      <c r="DQ27" s="726">
        <f t="shared" si="30"/>
        <v>0</v>
      </c>
      <c r="DR27" s="728">
        <f t="shared" si="31"/>
        <v>0</v>
      </c>
      <c r="DV27" s="580">
        <f t="shared" si="119"/>
        <v>24</v>
      </c>
      <c r="DW27" s="740">
        <f t="shared" si="32"/>
        <v>24</v>
      </c>
      <c r="DX27" s="665" t="s">
        <v>413</v>
      </c>
      <c r="DY27" s="726">
        <f t="shared" si="33"/>
        <v>0</v>
      </c>
      <c r="DZ27" s="727">
        <f t="shared" si="34"/>
        <v>0</v>
      </c>
      <c r="EA27" s="728">
        <f t="shared" si="35"/>
        <v>0</v>
      </c>
      <c r="EM27" s="580">
        <f t="shared" si="120"/>
        <v>24</v>
      </c>
      <c r="EN27" s="740">
        <f t="shared" si="36"/>
        <v>24</v>
      </c>
      <c r="EO27" s="665" t="s">
        <v>413</v>
      </c>
      <c r="EP27" s="726">
        <f t="shared" si="37"/>
        <v>0</v>
      </c>
      <c r="EQ27" s="727">
        <f t="shared" si="38"/>
        <v>0</v>
      </c>
      <c r="ER27" s="726">
        <f t="shared" si="39"/>
        <v>0</v>
      </c>
      <c r="ES27" s="727">
        <f t="shared" si="40"/>
        <v>0</v>
      </c>
      <c r="ET27" s="726">
        <f t="shared" si="41"/>
        <v>0</v>
      </c>
      <c r="EU27" s="727">
        <f t="shared" si="42"/>
        <v>0</v>
      </c>
      <c r="EV27" s="727">
        <f t="shared" si="43"/>
        <v>0</v>
      </c>
      <c r="EW27" s="726">
        <f t="shared" si="44"/>
        <v>0</v>
      </c>
      <c r="EX27" s="728">
        <f t="shared" si="45"/>
        <v>0</v>
      </c>
      <c r="FH27" s="580">
        <f t="shared" si="121"/>
        <v>24</v>
      </c>
      <c r="FI27" s="672">
        <f t="shared" si="46"/>
        <v>24</v>
      </c>
      <c r="FJ27" s="665" t="s">
        <v>413</v>
      </c>
      <c r="FK27" s="726">
        <f t="shared" si="47"/>
        <v>0</v>
      </c>
      <c r="FL27" s="727">
        <f t="shared" si="48"/>
        <v>0</v>
      </c>
      <c r="FM27" s="728">
        <f t="shared" si="49"/>
        <v>0</v>
      </c>
      <c r="FQ27" s="297">
        <v>24</v>
      </c>
      <c r="FR27" s="672">
        <v>24</v>
      </c>
      <c r="FS27" s="665" t="s">
        <v>413</v>
      </c>
      <c r="FT27" s="727">
        <f t="shared" si="50"/>
        <v>0</v>
      </c>
      <c r="FU27" s="727">
        <f t="shared" si="51"/>
        <v>0</v>
      </c>
      <c r="FV27" s="727">
        <f t="shared" si="52"/>
        <v>0</v>
      </c>
      <c r="FW27" s="727">
        <f t="shared" si="87"/>
        <v>0</v>
      </c>
      <c r="FX27" s="727">
        <f t="shared" si="53"/>
        <v>0</v>
      </c>
      <c r="FY27" s="727">
        <f t="shared" si="54"/>
        <v>0</v>
      </c>
      <c r="FZ27" s="727">
        <f t="shared" si="55"/>
        <v>0</v>
      </c>
      <c r="GA27" s="727">
        <f t="shared" si="129"/>
        <v>0</v>
      </c>
      <c r="GB27" s="748">
        <f t="shared" si="57"/>
        <v>0</v>
      </c>
      <c r="GF27" s="580">
        <f t="shared" si="88"/>
        <v>24</v>
      </c>
      <c r="GG27" s="672">
        <f t="shared" si="58"/>
        <v>24</v>
      </c>
      <c r="GH27" s="665" t="s">
        <v>413</v>
      </c>
      <c r="GI27" s="728">
        <f t="shared" si="59"/>
        <v>0</v>
      </c>
      <c r="GJ27" s="728">
        <f t="shared" si="60"/>
        <v>0</v>
      </c>
      <c r="GK27" s="728">
        <f t="shared" si="61"/>
        <v>0</v>
      </c>
      <c r="GL27" s="728">
        <f t="shared" si="62"/>
        <v>0</v>
      </c>
      <c r="GM27" s="728">
        <f t="shared" si="63"/>
        <v>0</v>
      </c>
      <c r="GN27" s="728">
        <f t="shared" si="64"/>
        <v>0</v>
      </c>
      <c r="GO27" s="728">
        <f t="shared" si="65"/>
        <v>0</v>
      </c>
      <c r="GP27" s="728">
        <f t="shared" si="66"/>
        <v>0</v>
      </c>
      <c r="GQ27" s="666">
        <f t="shared" si="89"/>
        <v>0</v>
      </c>
      <c r="GR27" s="530"/>
      <c r="GU27" s="297">
        <f t="shared" si="90"/>
        <v>24</v>
      </c>
      <c r="GV27" s="672">
        <f t="shared" si="67"/>
        <v>24</v>
      </c>
      <c r="GW27" s="665" t="s">
        <v>413</v>
      </c>
      <c r="GX27" s="668" t="s">
        <v>384</v>
      </c>
      <c r="GY27" s="673">
        <f t="shared" si="68"/>
        <v>0</v>
      </c>
      <c r="GZ27" s="666">
        <f t="shared" si="69"/>
        <v>0</v>
      </c>
      <c r="HA27" s="728">
        <f t="shared" si="91"/>
        <v>0</v>
      </c>
      <c r="HB27" s="727">
        <f t="shared" si="70"/>
        <v>0</v>
      </c>
      <c r="HC27" s="751">
        <f t="shared" si="71"/>
        <v>0</v>
      </c>
      <c r="HD27" s="549"/>
      <c r="HG27" s="549"/>
      <c r="HH27" s="549"/>
      <c r="HI27" s="549"/>
      <c r="HJ27" s="549"/>
      <c r="HK27" s="549"/>
      <c r="HL27" s="549"/>
      <c r="HM27" s="549"/>
      <c r="HP27" s="580">
        <f t="shared" si="122"/>
        <v>24</v>
      </c>
      <c r="HQ27" s="763">
        <f t="shared" si="72"/>
        <v>24</v>
      </c>
      <c r="HR27" s="665" t="s">
        <v>413</v>
      </c>
      <c r="HS27" s="666">
        <f t="shared" si="92"/>
        <v>0</v>
      </c>
      <c r="HT27" s="758">
        <f t="shared" si="93"/>
        <v>0</v>
      </c>
      <c r="HU27" s="758">
        <v>8.7916229999999995</v>
      </c>
      <c r="HV27" s="759">
        <f t="shared" si="94"/>
        <v>-1</v>
      </c>
      <c r="HW27" s="758">
        <f t="shared" si="95"/>
        <v>-8.7916229999999995</v>
      </c>
      <c r="HX27" s="760">
        <v>10</v>
      </c>
      <c r="IO27" s="580">
        <v>24</v>
      </c>
      <c r="IP27" s="763">
        <v>24</v>
      </c>
      <c r="IQ27" s="665" t="s">
        <v>413</v>
      </c>
      <c r="IR27" s="775">
        <f t="shared" si="96"/>
        <v>0</v>
      </c>
      <c r="IS27" s="776">
        <f t="shared" si="96"/>
        <v>0</v>
      </c>
      <c r="IT27" s="777">
        <f t="shared" si="96"/>
        <v>0</v>
      </c>
      <c r="IU27" s="992">
        <v>0</v>
      </c>
      <c r="IV27" s="666">
        <f t="shared" si="98"/>
        <v>0</v>
      </c>
      <c r="IW27" s="775">
        <f t="shared" si="99"/>
        <v>0</v>
      </c>
      <c r="IX27" s="775">
        <f t="shared" si="100"/>
        <v>0</v>
      </c>
      <c r="IY27" s="582">
        <f>IT27</f>
        <v>0</v>
      </c>
      <c r="IZ27" s="583">
        <f>IY27</f>
        <v>0</v>
      </c>
      <c r="JA27" s="775">
        <f t="shared" si="103"/>
        <v>0</v>
      </c>
      <c r="JB27" s="779">
        <f t="shared" si="104"/>
        <v>0</v>
      </c>
      <c r="JF27" s="551">
        <f t="shared" si="123"/>
        <v>24</v>
      </c>
      <c r="JG27" s="762">
        <f t="shared" si="73"/>
        <v>24</v>
      </c>
      <c r="JH27" s="660" t="s">
        <v>413</v>
      </c>
      <c r="JI27" s="661">
        <f t="shared" si="105"/>
        <v>0</v>
      </c>
      <c r="JJ27" s="757">
        <f t="shared" si="106"/>
        <v>0</v>
      </c>
      <c r="JK27" s="757">
        <v>8.7916229999999995</v>
      </c>
      <c r="JL27" s="651">
        <f t="shared" si="126"/>
        <v>-1</v>
      </c>
      <c r="JM27" s="757">
        <f t="shared" si="108"/>
        <v>-8.7916229999999995</v>
      </c>
      <c r="JN27" s="652">
        <v>10</v>
      </c>
      <c r="JS27" s="757">
        <v>0</v>
      </c>
      <c r="JT27" s="757">
        <f t="shared" si="109"/>
        <v>0</v>
      </c>
      <c r="JU27" s="1010">
        <v>0</v>
      </c>
      <c r="JV27" s="1010">
        <f>JU27-JI27</f>
        <v>0</v>
      </c>
      <c r="JW27" s="978"/>
      <c r="JX27" s="997">
        <v>0</v>
      </c>
      <c r="JY27" s="997">
        <f t="shared" si="111"/>
        <v>0</v>
      </c>
      <c r="JZ27" s="516"/>
      <c r="KA27" s="516"/>
      <c r="KB27" s="516"/>
      <c r="KC27" s="516"/>
      <c r="KE27" s="516"/>
      <c r="KF27" s="516"/>
    </row>
    <row r="28" spans="2:292" ht="17.25" thickBot="1" x14ac:dyDescent="0.35">
      <c r="F28" s="15"/>
      <c r="G28" s="584"/>
      <c r="H28" s="15"/>
      <c r="I28" s="585">
        <v>25</v>
      </c>
      <c r="J28" s="586"/>
      <c r="K28" s="566" t="s">
        <v>71</v>
      </c>
      <c r="L28" s="1007">
        <f>SUM(L4:L27)</f>
        <v>2185132912.7743182</v>
      </c>
      <c r="M28" s="784">
        <f>SUM(M4:M27)</f>
        <v>1</v>
      </c>
      <c r="N28" s="587">
        <f>SUM(N4:N27)</f>
        <v>17767</v>
      </c>
      <c r="O28" s="587">
        <f>SUM(O4:O27)</f>
        <v>1776137.8313797405</v>
      </c>
      <c r="P28" s="784">
        <f>SUM(P4:P27)</f>
        <v>0.99999999999999989</v>
      </c>
      <c r="Q28" s="588"/>
      <c r="R28" s="15"/>
      <c r="S28" s="584"/>
      <c r="T28" s="15"/>
      <c r="U28" s="585">
        <f>+U27+1</f>
        <v>25</v>
      </c>
      <c r="V28" s="674"/>
      <c r="W28" s="675" t="s">
        <v>71</v>
      </c>
      <c r="X28" s="785">
        <f>SUM(X4:X27)</f>
        <v>96528761.304583505</v>
      </c>
      <c r="Y28" s="784">
        <f>SUM(Y4:Y27)</f>
        <v>1.0000000000000002</v>
      </c>
      <c r="Z28" s="15"/>
      <c r="AA28" s="584"/>
      <c r="AB28" s="15"/>
      <c r="AG28" s="15"/>
      <c r="AH28" s="584"/>
      <c r="AI28" s="15"/>
      <c r="AJ28" s="15"/>
      <c r="AK28" s="15"/>
      <c r="AL28" s="15"/>
      <c r="AP28" s="585">
        <f>+AP27+1</f>
        <v>25</v>
      </c>
      <c r="AQ28" s="590"/>
      <c r="AR28" s="591" t="s">
        <v>71</v>
      </c>
      <c r="AS28" s="592">
        <f>AL7</f>
        <v>3.0953139055060737</v>
      </c>
      <c r="AT28" s="587">
        <f>SUM(AT4:AT27)</f>
        <v>2185132912.7743182</v>
      </c>
      <c r="AU28" s="587">
        <f>SUM(AU4:AU27)</f>
        <v>1878797.8584137047</v>
      </c>
      <c r="AV28" s="587">
        <f>SUM(AV4:AV27)</f>
        <v>1940159.9106851809</v>
      </c>
      <c r="AW28" s="593">
        <f>SUMPRODUCT(AW4:AW27,AT4:AT27)/AT28</f>
        <v>21.592508896755898</v>
      </c>
      <c r="AX28" s="594">
        <f>SUM(AX4:AX27)</f>
        <v>41892920.132598877</v>
      </c>
      <c r="AY28" s="595">
        <f t="shared" si="79"/>
        <v>1</v>
      </c>
      <c r="AZ28" s="596">
        <f>AX28*100/$L$28</f>
        <v>1.917179494560366</v>
      </c>
      <c r="BA28" s="15"/>
      <c r="BB28" s="584"/>
      <c r="BC28" s="15"/>
      <c r="BD28" s="530"/>
      <c r="BE28" s="530"/>
      <c r="BF28" s="530"/>
      <c r="BG28" s="530"/>
      <c r="BH28" s="15"/>
      <c r="BI28" s="584"/>
      <c r="BJ28" s="15"/>
      <c r="BK28" s="562">
        <f>+BK27+1</f>
        <v>25</v>
      </c>
      <c r="BL28" s="597"/>
      <c r="BM28" s="598" t="s">
        <v>71</v>
      </c>
      <c r="BN28" s="599">
        <f>SUM(BN4:BN27)</f>
        <v>1.0000000000000002</v>
      </c>
      <c r="BO28" s="564">
        <f>BG4</f>
        <v>9586712.8881295025</v>
      </c>
      <c r="BP28" s="599">
        <f>SUM(BP4:BP27)</f>
        <v>1</v>
      </c>
      <c r="BQ28" s="564">
        <f>BG5</f>
        <v>9586712.8881295025</v>
      </c>
      <c r="BR28" s="600">
        <f>C6</f>
        <v>19173425.776259005</v>
      </c>
      <c r="BS28" s="601">
        <f>BR28*100/$L$28</f>
        <v>0.87744894894817993</v>
      </c>
      <c r="BT28" s="15"/>
      <c r="BU28" s="584"/>
      <c r="BV28" s="15"/>
      <c r="BW28" s="190"/>
      <c r="BX28" s="190"/>
      <c r="BY28" s="190"/>
      <c r="BZ28" s="190"/>
      <c r="CA28" s="190"/>
      <c r="CB28" s="190"/>
      <c r="CC28" s="190"/>
      <c r="CD28" s="190"/>
      <c r="CE28" s="15"/>
      <c r="CF28" s="584"/>
      <c r="CH28" s="562">
        <f>+CH27+1</f>
        <v>25</v>
      </c>
      <c r="CI28" s="589"/>
      <c r="CJ28" s="566" t="s">
        <v>71</v>
      </c>
      <c r="CK28" s="602">
        <f>SUM(CK4:CK27)</f>
        <v>1</v>
      </c>
      <c r="CL28" s="564">
        <f>CC9</f>
        <v>5861738.7768834978</v>
      </c>
      <c r="CM28" s="602">
        <f>SUM(CM4:CM27)</f>
        <v>0.99999999999999989</v>
      </c>
      <c r="CN28" s="564">
        <f>CD9</f>
        <v>19211977.952013664</v>
      </c>
      <c r="CO28" s="564">
        <f>SUM(CO4:CO27)</f>
        <v>25073716.728897166</v>
      </c>
      <c r="CP28" s="602">
        <f>SUM(CP4:CP27)</f>
        <v>0.99999999999999989</v>
      </c>
      <c r="CQ28" s="601">
        <f>CO28*100/$L$28</f>
        <v>1.1474687229465934</v>
      </c>
      <c r="CS28" s="584"/>
      <c r="CT28" s="15"/>
      <c r="DD28" s="15"/>
      <c r="DE28" s="584"/>
      <c r="DF28" s="514"/>
      <c r="DG28" s="585">
        <f>DG27+1</f>
        <v>25</v>
      </c>
      <c r="DH28" s="590"/>
      <c r="DI28" s="591" t="s">
        <v>71</v>
      </c>
      <c r="DJ28" s="602">
        <f>SUM(DJ4:DJ27)</f>
        <v>0.99999999999999989</v>
      </c>
      <c r="DK28" s="564">
        <f>CZ7</f>
        <v>376694.73457649816</v>
      </c>
      <c r="DL28" s="602">
        <f>SUM(DL4:DL27)</f>
        <v>0.99999999999999989</v>
      </c>
      <c r="DM28" s="564">
        <f>DA7</f>
        <v>2448135.5093462113</v>
      </c>
      <c r="DN28" s="602">
        <f>SUM(DN4:DN27)</f>
        <v>1</v>
      </c>
      <c r="DO28" s="564">
        <f>DB7</f>
        <v>3548864.0135629829</v>
      </c>
      <c r="DP28" s="564">
        <f>SUM(DP4:DP27)</f>
        <v>6373694.2574856933</v>
      </c>
      <c r="DQ28" s="602">
        <f>SUM(DQ4:DQ27)</f>
        <v>1.0000000000000002</v>
      </c>
      <c r="DR28" s="601">
        <f>DP28*100/$L$28</f>
        <v>0.29168451128189898</v>
      </c>
      <c r="DS28" s="530"/>
      <c r="DT28" s="584"/>
      <c r="DU28" s="530"/>
      <c r="DV28" s="585">
        <f>DV27+1</f>
        <v>25</v>
      </c>
      <c r="DW28" s="590"/>
      <c r="DX28" s="591" t="s">
        <v>71</v>
      </c>
      <c r="DY28" s="602">
        <f>SUM(DY4:DY27)</f>
        <v>0.99999999999999989</v>
      </c>
      <c r="DZ28" s="564">
        <f>C9</f>
        <v>4015004.4093427504</v>
      </c>
      <c r="EA28" s="601">
        <f>DZ28*100/$L$28</f>
        <v>0.18374188525883151</v>
      </c>
      <c r="EB28" s="530"/>
      <c r="EC28" s="584"/>
      <c r="ED28" s="15"/>
      <c r="EJ28" s="15"/>
      <c r="EK28" s="584"/>
      <c r="EL28" s="15"/>
      <c r="EM28" s="585">
        <f>+EM27+1</f>
        <v>25</v>
      </c>
      <c r="EN28" s="590"/>
      <c r="EO28" s="591" t="s">
        <v>71</v>
      </c>
      <c r="EP28" s="602">
        <f>SUM(EP4:EP27)</f>
        <v>1.0000000000000002</v>
      </c>
      <c r="EQ28" s="564">
        <f>EI4</f>
        <v>7827819.1756942505</v>
      </c>
      <c r="ER28" s="602">
        <f>SUM(ER4:ER27)</f>
        <v>0.99999999999999989</v>
      </c>
      <c r="ES28" s="564">
        <f>EI5</f>
        <v>1010440.3360219471</v>
      </c>
      <c r="ET28" s="602">
        <f>SUM(ET4:ET27)</f>
        <v>1</v>
      </c>
      <c r="EU28" s="564">
        <f>EI6</f>
        <v>4277410.6395161217</v>
      </c>
      <c r="EV28" s="564">
        <f>SUM(EV4:EV27)</f>
        <v>13115670.151232319</v>
      </c>
      <c r="EW28" s="602">
        <f>SUM(EW4:EW27)</f>
        <v>1</v>
      </c>
      <c r="EX28" s="601">
        <f>EV28*100/$L$28</f>
        <v>0.60022299213736263</v>
      </c>
      <c r="EY28" s="15"/>
      <c r="EZ28" s="584"/>
      <c r="FA28" s="15"/>
      <c r="FE28" s="15"/>
      <c r="FF28" s="584"/>
      <c r="FG28" s="530"/>
      <c r="FH28" s="585">
        <f>+FH27+1</f>
        <v>25</v>
      </c>
      <c r="FI28" s="603"/>
      <c r="FJ28" s="560" t="s">
        <v>71</v>
      </c>
      <c r="FK28" s="602">
        <f t="shared" si="47"/>
        <v>1.0000000000000002</v>
      </c>
      <c r="FL28" s="564">
        <f>FD6</f>
        <v>19645244.045015443</v>
      </c>
      <c r="FM28" s="601">
        <f>FL28*100/$L$28</f>
        <v>0.89904114894654985</v>
      </c>
      <c r="FN28" s="15"/>
      <c r="FQ28" s="562">
        <v>25</v>
      </c>
      <c r="FR28" s="604"/>
      <c r="FS28" s="598" t="s">
        <v>71</v>
      </c>
      <c r="FT28" s="564">
        <f t="shared" ref="FT28:FY28" si="130">SUM(FT4:FT27)</f>
        <v>41892920.132598877</v>
      </c>
      <c r="FU28" s="564">
        <f t="shared" si="130"/>
        <v>19173425.776259005</v>
      </c>
      <c r="FV28" s="564">
        <f t="shared" si="130"/>
        <v>25073716.728897166</v>
      </c>
      <c r="FW28" s="564">
        <f t="shared" si="130"/>
        <v>6373694.2574856933</v>
      </c>
      <c r="FX28" s="564">
        <f t="shared" si="130"/>
        <v>4015004.4093427504</v>
      </c>
      <c r="FY28" s="564">
        <f t="shared" si="130"/>
        <v>13115670.151232319</v>
      </c>
      <c r="FZ28" s="564">
        <f>SUM(FZ4:FZ27)</f>
        <v>19645244.045015443</v>
      </c>
      <c r="GA28" s="564">
        <f>SUM(FT28:FZ28)</f>
        <v>129289675.50083125</v>
      </c>
      <c r="GB28" s="605">
        <v>5.9055510012352572</v>
      </c>
      <c r="GC28" s="15"/>
      <c r="GF28" s="585">
        <v>25</v>
      </c>
      <c r="GG28" s="606"/>
      <c r="GH28" s="566" t="s">
        <v>71</v>
      </c>
      <c r="GI28" s="601">
        <f t="shared" ref="GI28:GP28" si="131">FT28*100/$GQ$28</f>
        <v>1.917179494560366</v>
      </c>
      <c r="GJ28" s="601">
        <f t="shared" si="131"/>
        <v>0.87744894894817993</v>
      </c>
      <c r="GK28" s="601">
        <f t="shared" si="131"/>
        <v>1.1474687229465934</v>
      </c>
      <c r="GL28" s="601">
        <f t="shared" si="131"/>
        <v>0.29168451128189898</v>
      </c>
      <c r="GM28" s="601">
        <f t="shared" si="131"/>
        <v>0.18374188525883151</v>
      </c>
      <c r="GN28" s="601">
        <f t="shared" si="131"/>
        <v>0.60022299213736263</v>
      </c>
      <c r="GO28" s="601">
        <f t="shared" si="131"/>
        <v>0.89904114894654985</v>
      </c>
      <c r="GP28" s="605">
        <f t="shared" si="131"/>
        <v>5.9167877040797814</v>
      </c>
      <c r="GQ28" s="587">
        <f>SUM(GQ4:GQ27)</f>
        <v>2185132912.7743182</v>
      </c>
      <c r="GR28" s="607"/>
      <c r="GU28" s="562">
        <v>25</v>
      </c>
      <c r="GV28" s="604"/>
      <c r="GW28" s="598" t="s">
        <v>71</v>
      </c>
      <c r="GX28" s="586"/>
      <c r="GY28" s="564">
        <f>SUM(GY4:GY27)</f>
        <v>129289675.50083126</v>
      </c>
      <c r="GZ28" s="608">
        <f>SUM(GZ4:GZ27)</f>
        <v>2185132912.7743182</v>
      </c>
      <c r="HA28" s="601">
        <f t="shared" ref="HA28" si="132">IF(GZ28&lt;&gt;0,GY28/GZ28*100,0)</f>
        <v>5.9167877040797823</v>
      </c>
      <c r="HB28" s="564">
        <f>SUM(HB4:HB27)</f>
        <v>129289673.88085331</v>
      </c>
      <c r="HC28" s="569">
        <f>SUM(HC4:HC27)</f>
        <v>-1.6199779444580145</v>
      </c>
      <c r="HD28" s="609"/>
      <c r="HG28" s="609"/>
      <c r="HH28" s="609"/>
      <c r="HI28" s="609"/>
      <c r="HJ28" s="609"/>
      <c r="HK28" s="609"/>
      <c r="HL28" s="609"/>
      <c r="HM28" s="609"/>
      <c r="HP28" s="585">
        <v>25</v>
      </c>
      <c r="HQ28" s="610" t="s">
        <v>71</v>
      </c>
      <c r="HR28" s="566"/>
      <c r="HS28" s="611">
        <f>SUM(HS4:HS27)</f>
        <v>2185132912.7743182</v>
      </c>
      <c r="HT28" s="612">
        <f>SUMPRODUCT(HS4:HS27,HT4:HT27)/SUM(HS4:HS27)</f>
        <v>5.9167876299434248</v>
      </c>
      <c r="HU28" s="612">
        <f>SUMPRODUCT(HS4:HS27,HU4:HU27)/SUM(HS4:HS27)</f>
        <v>5.173390403869254</v>
      </c>
      <c r="HV28" s="614">
        <f>IF(HU28&lt;&gt;0,HT28/HU28-1,"")</f>
        <v>0.14369633219989986</v>
      </c>
      <c r="HW28" s="613">
        <f t="shared" si="95"/>
        <v>0.7433972260741708</v>
      </c>
      <c r="HX28" s="615"/>
      <c r="HY28" s="15"/>
      <c r="HZ28" s="584"/>
      <c r="IA28" s="15"/>
      <c r="IL28" s="15"/>
      <c r="IM28" s="584"/>
      <c r="IN28" s="15"/>
      <c r="IO28" s="616">
        <v>25</v>
      </c>
      <c r="IP28" s="610" t="s">
        <v>71</v>
      </c>
      <c r="IQ28" s="566"/>
      <c r="IR28" s="617">
        <f>SUM(IR4:IR27)</f>
        <v>129289675.50083126</v>
      </c>
      <c r="IS28" s="611">
        <f>SUM(IS4:IS27)</f>
        <v>2185132912.7743182</v>
      </c>
      <c r="IT28" s="618">
        <f>SUMPRODUCT(IS4:IS27,IT4:IT27)/SUM(IS4:IS27)</f>
        <v>5.9167876299434248</v>
      </c>
      <c r="IU28" s="611">
        <f>SUM(IU4:IU27)</f>
        <v>316639920.00000012</v>
      </c>
      <c r="IV28" s="611">
        <f>SUM(IV4:IV27)</f>
        <v>1868492992.7743187</v>
      </c>
      <c r="IW28" s="617">
        <f>SUM(IW4:IW27)</f>
        <v>4749598.8000000017</v>
      </c>
      <c r="IX28" s="617">
        <f>SUM(IX4:IX27)</f>
        <v>124540076.70083126</v>
      </c>
      <c r="IY28" s="605">
        <f>IX28/IS28*100</f>
        <v>5.6994279832026784</v>
      </c>
      <c r="IZ28" s="605">
        <f>SUMPRODUCT(IU4:IU27,IZ4:IZ27)/SUM(IU4:IU27)</f>
        <v>7.1751080324879526</v>
      </c>
      <c r="JA28" s="617">
        <f>SUM(JA4:JA27)</f>
        <v>129289675.500807</v>
      </c>
      <c r="JB28" s="619"/>
      <c r="JF28" s="585">
        <v>25</v>
      </c>
      <c r="JG28" s="610" t="s">
        <v>71</v>
      </c>
      <c r="JH28" s="566"/>
      <c r="JI28" s="611">
        <f>SUM(JI4:JI27)</f>
        <v>2185132912.7743182</v>
      </c>
      <c r="JJ28" s="612">
        <f>SUMPRODUCT($JI4:$JI27,JJ4:JJ27)/SUM($JI4:$JI27)</f>
        <v>5.6994279832015673</v>
      </c>
      <c r="JK28" s="612">
        <f>SUMPRODUCT($JI4:$JI27,JK4:JK27)/SUM($JI4:$JI27)</f>
        <v>4.9540629043697768</v>
      </c>
      <c r="JL28" s="614">
        <f>IF(JK28&lt;&gt;0,JJ28/JK28-1,"")</f>
        <v>0.15045531177537819</v>
      </c>
      <c r="JM28" s="613">
        <f t="shared" si="108"/>
        <v>0.74536507883179048</v>
      </c>
      <c r="JN28" s="615"/>
      <c r="JO28" s="5"/>
      <c r="JS28" s="612">
        <v>5.7021191911919562</v>
      </c>
      <c r="JT28" s="612">
        <f t="shared" si="109"/>
        <v>-2.6912079903889108E-3</v>
      </c>
      <c r="JU28" s="1011">
        <v>2182522571</v>
      </c>
      <c r="JV28" s="1011">
        <f>JU28-JI28</f>
        <v>-2610341.7743182182</v>
      </c>
      <c r="JW28" s="978">
        <f t="shared" si="124"/>
        <v>-4.7196628133379083E-4</v>
      </c>
      <c r="JX28" s="997">
        <v>124450038.37308708</v>
      </c>
      <c r="JY28" s="997">
        <f t="shared" si="111"/>
        <v>124540076.70080698</v>
      </c>
      <c r="JZ28" s="516"/>
      <c r="KA28" s="516"/>
      <c r="KB28" s="516"/>
      <c r="KC28" s="516"/>
      <c r="KE28" s="516"/>
      <c r="KF28" s="516"/>
    </row>
    <row r="29" spans="2:292" ht="16.5" x14ac:dyDescent="0.3">
      <c r="F29" s="530"/>
      <c r="G29" s="620"/>
      <c r="H29" s="530"/>
      <c r="L29" s="236"/>
      <c r="N29" s="236"/>
      <c r="O29" s="236"/>
      <c r="R29" s="530"/>
      <c r="S29" s="620"/>
      <c r="T29" s="530"/>
      <c r="U29" s="514"/>
      <c r="V29" s="676"/>
      <c r="Z29" s="530"/>
      <c r="AA29" s="620"/>
      <c r="AB29" s="530"/>
      <c r="AG29" s="530"/>
      <c r="AH29" s="620"/>
      <c r="AI29" s="530"/>
      <c r="AJ29" s="530"/>
      <c r="AK29" s="530"/>
      <c r="AL29" s="530"/>
      <c r="AP29" s="621"/>
      <c r="AQ29" s="621"/>
      <c r="AR29" s="530"/>
      <c r="AS29" s="530"/>
      <c r="AT29" s="530"/>
      <c r="AU29" s="530"/>
      <c r="AV29" s="622"/>
      <c r="AW29" s="530"/>
      <c r="AX29" s="530"/>
      <c r="AY29" s="530"/>
      <c r="AZ29" s="530"/>
      <c r="BA29" s="530"/>
      <c r="BB29" s="620"/>
      <c r="BC29" s="530"/>
      <c r="BD29" s="530"/>
      <c r="BE29" s="530"/>
      <c r="BF29" s="530"/>
      <c r="BG29" s="530"/>
      <c r="BH29" s="530"/>
      <c r="BI29" s="620"/>
      <c r="BJ29" s="530"/>
      <c r="BT29" s="530"/>
      <c r="BU29" s="620"/>
      <c r="BV29" s="623"/>
      <c r="BW29" s="190"/>
      <c r="BX29" s="190"/>
      <c r="BY29" s="190"/>
      <c r="BZ29" s="190"/>
      <c r="CA29" s="190"/>
      <c r="CB29" s="190"/>
      <c r="CC29" s="190"/>
      <c r="CD29" s="190"/>
      <c r="CE29" s="530"/>
      <c r="CF29" s="620"/>
      <c r="CG29" s="15"/>
      <c r="CH29" s="5"/>
      <c r="CL29" s="16"/>
      <c r="CN29" s="16"/>
      <c r="CO29" s="16"/>
      <c r="CR29" s="15"/>
      <c r="CS29" s="620"/>
      <c r="CT29" s="530"/>
      <c r="DD29" s="623"/>
      <c r="DE29" s="620"/>
      <c r="DF29" s="530"/>
      <c r="DG29" s="530"/>
      <c r="DH29" s="530"/>
      <c r="DI29" s="530"/>
      <c r="DJ29" s="530"/>
      <c r="DK29" s="530"/>
      <c r="DL29" s="530"/>
      <c r="DM29" s="530"/>
      <c r="DN29" s="530"/>
      <c r="DO29" s="530"/>
      <c r="DP29" s="530"/>
      <c r="DQ29" s="530"/>
      <c r="DR29" s="530"/>
      <c r="DS29" s="530"/>
      <c r="DT29" s="620"/>
      <c r="DU29" s="530"/>
      <c r="DV29" s="514"/>
      <c r="DW29" s="530"/>
      <c r="DX29" s="530"/>
      <c r="DY29" s="530"/>
      <c r="DZ29" s="530"/>
      <c r="EA29" s="530"/>
      <c r="EB29" s="530"/>
      <c r="EC29" s="620"/>
      <c r="ED29" s="530"/>
      <c r="EJ29" s="530"/>
      <c r="EK29" s="620"/>
      <c r="EL29" s="530"/>
      <c r="EM29" s="530"/>
      <c r="EN29" s="530"/>
      <c r="EO29" s="530"/>
      <c r="EP29" s="530"/>
      <c r="EQ29" s="530"/>
      <c r="ER29" s="530"/>
      <c r="ES29" s="530"/>
      <c r="ET29" s="530"/>
      <c r="EU29" s="624"/>
      <c r="EV29" s="530"/>
      <c r="EW29" s="530"/>
      <c r="EX29" s="530"/>
      <c r="EY29" s="530"/>
      <c r="EZ29" s="620"/>
      <c r="FA29" s="530"/>
      <c r="FE29" s="530"/>
      <c r="FF29" s="620"/>
      <c r="FG29" s="530"/>
      <c r="FH29" s="530"/>
      <c r="FI29" s="530"/>
      <c r="FJ29" s="530"/>
      <c r="FK29" s="530"/>
      <c r="FL29" s="530"/>
      <c r="FM29" s="530"/>
      <c r="FN29" s="530"/>
      <c r="GA29" s="355">
        <f>GA28-'ABDA 8 month Phase I'!MC25</f>
        <v>28998.386739701033</v>
      </c>
      <c r="GF29" s="530"/>
      <c r="GG29" s="530"/>
      <c r="GH29" s="530"/>
      <c r="GI29" s="530"/>
      <c r="GJ29" s="530"/>
      <c r="GK29" s="530"/>
      <c r="GL29" s="530"/>
      <c r="GM29" s="530"/>
      <c r="GN29" s="530"/>
      <c r="GO29" s="530"/>
      <c r="GP29" s="530"/>
      <c r="GQ29" s="530"/>
      <c r="GR29" s="530"/>
      <c r="HD29" s="204"/>
      <c r="HG29" s="549"/>
      <c r="HH29" s="549"/>
      <c r="HI29" s="549"/>
      <c r="HJ29" s="549"/>
      <c r="HK29" s="549"/>
      <c r="HL29" s="204"/>
      <c r="HM29" s="204"/>
      <c r="HY29" s="530"/>
      <c r="HZ29" s="620"/>
      <c r="IA29" s="530"/>
      <c r="IO29" s="514"/>
      <c r="IP29" s="530"/>
      <c r="JY29" s="997"/>
      <c r="JZ29" s="516"/>
      <c r="KA29" s="516"/>
      <c r="KB29" s="516"/>
      <c r="KC29" s="516"/>
    </row>
    <row r="30" spans="2:292" ht="16.5" x14ac:dyDescent="0.3">
      <c r="F30" s="530"/>
      <c r="G30" s="620"/>
      <c r="H30" s="530"/>
      <c r="R30" s="530"/>
      <c r="S30" s="620"/>
      <c r="T30" s="530"/>
      <c r="U30" s="514"/>
      <c r="V30" s="676"/>
      <c r="W30" s="948" t="s">
        <v>414</v>
      </c>
      <c r="X30" s="739"/>
      <c r="Y30" s="739"/>
      <c r="Z30" s="530"/>
      <c r="AA30" s="620"/>
      <c r="AB30" s="530"/>
      <c r="AG30" s="530"/>
      <c r="AH30" s="620"/>
      <c r="AI30" s="530"/>
      <c r="AJ30" s="530"/>
      <c r="AK30" s="530"/>
      <c r="AL30" s="530"/>
      <c r="AP30" s="530"/>
      <c r="AQ30" s="705" t="s">
        <v>414</v>
      </c>
      <c r="AR30" s="705"/>
      <c r="AS30" s="705">
        <v>3</v>
      </c>
      <c r="AT30" s="705">
        <v>3</v>
      </c>
      <c r="AU30" s="705"/>
      <c r="AV30" s="705"/>
      <c r="AW30" s="705"/>
      <c r="AX30" s="705"/>
      <c r="AY30" s="625"/>
      <c r="AZ30" s="625">
        <v>4</v>
      </c>
      <c r="BA30" s="530"/>
      <c r="BB30" s="620"/>
      <c r="BC30" s="530"/>
      <c r="BD30" s="530"/>
      <c r="BE30" s="530"/>
      <c r="BF30" s="530"/>
      <c r="BG30" s="530"/>
      <c r="BH30" s="530"/>
      <c r="BI30" s="620"/>
      <c r="BJ30" s="530"/>
      <c r="BM30" s="714" t="s">
        <v>416</v>
      </c>
      <c r="BN30" s="714"/>
      <c r="BO30" s="714"/>
      <c r="BP30" s="714"/>
      <c r="BQ30" s="714"/>
      <c r="BR30" s="714"/>
      <c r="BS30" s="714"/>
      <c r="BT30" s="530"/>
      <c r="BU30" s="620"/>
      <c r="BV30" s="623"/>
      <c r="BW30" s="190"/>
      <c r="BX30" s="190"/>
      <c r="BY30" s="190"/>
      <c r="BZ30" s="190"/>
      <c r="CA30" s="190"/>
      <c r="CB30" s="190"/>
      <c r="CC30" s="190"/>
      <c r="CD30" s="190"/>
      <c r="CE30" s="530"/>
      <c r="CF30" s="620"/>
      <c r="CG30" s="530"/>
      <c r="CH30" s="660"/>
      <c r="CI30" s="681"/>
      <c r="CJ30" s="729" t="s">
        <v>417</v>
      </c>
      <c r="CK30" s="660"/>
      <c r="CL30" s="730"/>
      <c r="CM30" s="660"/>
      <c r="CN30" s="730"/>
      <c r="CO30" s="730"/>
      <c r="CP30" s="660"/>
      <c r="CQ30" s="660"/>
      <c r="CR30" s="530"/>
      <c r="CS30" s="620"/>
      <c r="CT30" s="530"/>
      <c r="DD30" s="623"/>
      <c r="DE30" s="620"/>
      <c r="DF30" s="530"/>
      <c r="DG30" s="530"/>
      <c r="DH30" s="530"/>
      <c r="DI30" s="729" t="s">
        <v>418</v>
      </c>
      <c r="DJ30" s="741"/>
      <c r="DK30" s="741"/>
      <c r="DL30" s="741"/>
      <c r="DM30" s="741"/>
      <c r="DN30" s="741"/>
      <c r="DO30" s="741"/>
      <c r="DP30" s="741"/>
      <c r="DQ30" s="741"/>
      <c r="DR30" s="741"/>
      <c r="DT30" s="620"/>
      <c r="DU30" s="530"/>
      <c r="DV30" s="530"/>
      <c r="DW30" s="530"/>
      <c r="DX30" s="1068" t="s">
        <v>418</v>
      </c>
      <c r="DY30" s="1068"/>
      <c r="DZ30" s="1068"/>
      <c r="EA30" s="1068"/>
      <c r="EB30" s="660"/>
      <c r="EC30" s="620"/>
      <c r="ED30" s="530"/>
      <c r="EJ30" s="530"/>
      <c r="EK30" s="620"/>
      <c r="EL30" s="530"/>
      <c r="EM30" s="676"/>
      <c r="EN30" s="676"/>
      <c r="EO30" s="729" t="s">
        <v>419</v>
      </c>
      <c r="EP30" s="729"/>
      <c r="EQ30" s="729"/>
      <c r="ER30" s="729"/>
      <c r="ES30" s="729"/>
      <c r="ET30" s="729"/>
      <c r="EU30" s="729"/>
      <c r="EV30" s="729"/>
      <c r="EW30" s="729"/>
      <c r="EX30" s="729"/>
      <c r="EY30" s="530"/>
      <c r="EZ30" s="620"/>
      <c r="FA30" s="530"/>
      <c r="FE30" s="530"/>
      <c r="FF30" s="620"/>
      <c r="FG30" s="530"/>
      <c r="FH30" s="625"/>
      <c r="FI30" s="626"/>
      <c r="FJ30" s="626"/>
      <c r="FK30" s="626"/>
      <c r="FL30" s="626"/>
      <c r="FM30" s="626">
        <v>4</v>
      </c>
      <c r="FN30" s="530"/>
      <c r="GF30" s="530"/>
      <c r="GG30" s="530"/>
      <c r="GH30" s="530"/>
      <c r="GI30" s="552"/>
      <c r="GJ30" s="552"/>
      <c r="GK30" s="552"/>
      <c r="GL30" s="552"/>
      <c r="GM30" s="552"/>
      <c r="GN30" s="552"/>
      <c r="GO30" s="552"/>
      <c r="GP30" s="530"/>
      <c r="GQ30" s="622"/>
      <c r="GR30" s="530"/>
      <c r="HD30" s="204"/>
      <c r="HG30" s="549"/>
      <c r="HH30" s="549"/>
      <c r="HI30" s="549"/>
      <c r="HJ30" s="549"/>
      <c r="HK30" s="549"/>
      <c r="HL30" s="204"/>
      <c r="HM30" s="204"/>
      <c r="HP30" s="706" t="s">
        <v>420</v>
      </c>
      <c r="HQ30" s="628"/>
      <c r="HR30" s="629"/>
      <c r="HS30" s="630">
        <v>3</v>
      </c>
      <c r="HT30" s="630"/>
      <c r="HU30" s="630">
        <v>11</v>
      </c>
      <c r="HV30" s="630"/>
      <c r="HW30" s="630"/>
      <c r="HX30" s="630">
        <v>6</v>
      </c>
      <c r="HY30" s="530"/>
      <c r="HZ30" s="620"/>
      <c r="IA30" s="530"/>
      <c r="IO30" s="530"/>
      <c r="IP30" s="530"/>
      <c r="JF30" s="706" t="s">
        <v>420</v>
      </c>
      <c r="JG30" s="780"/>
      <c r="JH30" s="781"/>
      <c r="JI30" s="782">
        <v>3</v>
      </c>
      <c r="JJ30" s="782"/>
      <c r="JK30" s="782">
        <v>5</v>
      </c>
      <c r="JL30" s="782"/>
      <c r="JM30" s="782"/>
      <c r="JN30" s="782">
        <v>6</v>
      </c>
      <c r="JO30" s="660"/>
      <c r="JZ30" s="516"/>
      <c r="KA30" s="516"/>
      <c r="KB30" s="516"/>
      <c r="KC30" s="516"/>
    </row>
    <row r="31" spans="2:292" ht="16.5" x14ac:dyDescent="0.3">
      <c r="G31" s="620"/>
      <c r="H31" s="530"/>
      <c r="S31" s="620"/>
      <c r="T31" s="530"/>
      <c r="W31" s="948" t="s">
        <v>415</v>
      </c>
      <c r="X31" s="739">
        <v>2</v>
      </c>
      <c r="Y31" s="739">
        <f>X31+1</f>
        <v>3</v>
      </c>
      <c r="AA31" s="620"/>
      <c r="AB31" s="530"/>
      <c r="AH31" s="620"/>
      <c r="AI31" s="530"/>
      <c r="AJ31" s="530"/>
      <c r="AK31" s="530"/>
      <c r="AL31" s="530"/>
      <c r="AO31" s="631"/>
      <c r="AQ31" s="706" t="s">
        <v>421</v>
      </c>
      <c r="AR31" s="706">
        <v>2</v>
      </c>
      <c r="AS31" s="706">
        <f>+AR31+1</f>
        <v>3</v>
      </c>
      <c r="AT31" s="706">
        <f t="shared" ref="AT31:AX31" si="133">+AS31+1</f>
        <v>4</v>
      </c>
      <c r="AU31" s="706">
        <f t="shared" si="133"/>
        <v>5</v>
      </c>
      <c r="AV31" s="706">
        <f t="shared" si="133"/>
        <v>6</v>
      </c>
      <c r="AW31" s="706">
        <f t="shared" si="133"/>
        <v>7</v>
      </c>
      <c r="AX31" s="706">
        <f t="shared" si="133"/>
        <v>8</v>
      </c>
      <c r="AY31" s="627"/>
      <c r="AZ31" s="627">
        <f>+AX31+1</f>
        <v>9</v>
      </c>
      <c r="BB31" s="620"/>
      <c r="BC31" s="530"/>
      <c r="BD31" s="530"/>
      <c r="BE31" s="530"/>
      <c r="BF31" s="530"/>
      <c r="BG31" s="530"/>
      <c r="BI31" s="620"/>
      <c r="BJ31" s="530"/>
      <c r="BM31" s="660"/>
      <c r="BN31" s="660"/>
      <c r="BO31" s="660"/>
      <c r="BP31" s="660"/>
      <c r="BQ31" s="660"/>
      <c r="BR31" s="660"/>
      <c r="BS31" s="660"/>
      <c r="BU31" s="620"/>
      <c r="BV31" s="623"/>
      <c r="BW31" s="190"/>
      <c r="BX31" s="190"/>
      <c r="BY31" s="190"/>
      <c r="BZ31" s="190"/>
      <c r="CA31" s="190"/>
      <c r="CB31" s="190"/>
      <c r="CC31" s="190"/>
      <c r="CD31" s="190"/>
      <c r="CF31" s="620"/>
      <c r="CG31" s="530"/>
      <c r="CH31" s="660"/>
      <c r="CI31" s="681"/>
      <c r="CJ31" s="660"/>
      <c r="CK31" s="660"/>
      <c r="CL31" s="660"/>
      <c r="CM31" s="660"/>
      <c r="CN31" s="660"/>
      <c r="CO31" s="660"/>
      <c r="CP31" s="660"/>
      <c r="CQ31" s="660"/>
      <c r="CR31" s="530"/>
      <c r="CS31" s="620"/>
      <c r="CT31" s="530"/>
      <c r="DD31" s="190"/>
      <c r="DE31" s="620"/>
      <c r="DF31" s="530"/>
      <c r="DI31" s="660"/>
      <c r="DJ31" s="660"/>
      <c r="DK31" s="660"/>
      <c r="DL31" s="660"/>
      <c r="DM31" s="660"/>
      <c r="DN31" s="660"/>
      <c r="DO31" s="660"/>
      <c r="DP31" s="660"/>
      <c r="DQ31" s="660"/>
      <c r="DR31" s="660"/>
      <c r="DT31" s="620"/>
      <c r="DU31" s="530"/>
      <c r="DX31" s="1068"/>
      <c r="DY31" s="1068"/>
      <c r="DZ31" s="1068"/>
      <c r="EA31" s="1068"/>
      <c r="EB31" s="660"/>
      <c r="EC31" s="620"/>
      <c r="ED31" s="530"/>
      <c r="EK31" s="620"/>
      <c r="EL31" s="530"/>
      <c r="EM31" s="676"/>
      <c r="EN31" s="676"/>
      <c r="EO31" s="676"/>
      <c r="EP31" s="676"/>
      <c r="EQ31" s="676"/>
      <c r="ER31" s="676"/>
      <c r="ES31" s="676"/>
      <c r="ET31" s="676"/>
      <c r="EU31" s="742"/>
      <c r="EV31" s="676"/>
      <c r="EW31" s="676"/>
      <c r="EX31" s="676"/>
      <c r="EZ31" s="620"/>
      <c r="FA31" s="530"/>
      <c r="FF31" s="620"/>
      <c r="FG31" s="530"/>
      <c r="FH31" s="705" t="s">
        <v>414</v>
      </c>
      <c r="FI31" s="626"/>
      <c r="FJ31" s="626"/>
      <c r="FK31" s="626"/>
      <c r="FL31" s="626">
        <f>Y31+1</f>
        <v>4</v>
      </c>
      <c r="FM31" s="626">
        <f t="shared" ref="FM31" si="134">FL31+1</f>
        <v>5</v>
      </c>
      <c r="GF31" s="530"/>
      <c r="GG31" s="530"/>
      <c r="GH31" s="655" t="s">
        <v>414</v>
      </c>
      <c r="GI31" s="655">
        <v>10</v>
      </c>
      <c r="GJ31" s="655">
        <v>8</v>
      </c>
      <c r="GK31" s="655">
        <v>9</v>
      </c>
      <c r="GL31" s="655">
        <v>11</v>
      </c>
      <c r="GM31" s="655">
        <v>5</v>
      </c>
      <c r="GN31" s="655">
        <v>11</v>
      </c>
      <c r="GO31" s="655">
        <v>5</v>
      </c>
      <c r="GP31" s="655">
        <v>11</v>
      </c>
      <c r="GQ31" s="655">
        <v>3</v>
      </c>
      <c r="GZ31" s="949" t="s">
        <v>422</v>
      </c>
      <c r="HA31" s="950">
        <f>31.49*100</f>
        <v>3149</v>
      </c>
      <c r="HD31" s="565"/>
      <c r="HG31" s="565"/>
      <c r="HH31" s="565"/>
      <c r="HI31" s="565"/>
      <c r="HJ31" s="565"/>
      <c r="HK31" s="565"/>
      <c r="HL31" s="565"/>
      <c r="HM31" s="565"/>
      <c r="HT31" s="241"/>
      <c r="HU31" s="241"/>
      <c r="HZ31" s="620"/>
      <c r="IA31" s="530"/>
      <c r="IP31" s="530"/>
      <c r="JF31" s="660"/>
      <c r="JG31" s="660"/>
      <c r="JH31" s="660"/>
      <c r="JI31" s="660"/>
      <c r="JJ31" s="660"/>
      <c r="JK31" s="660"/>
      <c r="JL31" s="660"/>
      <c r="JM31" s="660"/>
      <c r="JN31" s="660"/>
      <c r="JO31" s="660"/>
    </row>
    <row r="32" spans="2:292" ht="16.5" x14ac:dyDescent="0.3">
      <c r="G32" s="620"/>
      <c r="H32" s="530"/>
      <c r="S32" s="620"/>
      <c r="T32" s="530"/>
      <c r="AA32" s="620"/>
      <c r="AB32" s="530"/>
      <c r="AH32" s="620"/>
      <c r="AI32" s="530"/>
      <c r="AJ32" s="530"/>
      <c r="AK32" s="530"/>
      <c r="AL32" s="530"/>
      <c r="BB32" s="620"/>
      <c r="BC32" s="530"/>
      <c r="BD32" s="530"/>
      <c r="BE32" s="530"/>
      <c r="BF32" s="530"/>
      <c r="BG32" s="530"/>
      <c r="BI32" s="620"/>
      <c r="BJ32" s="530"/>
      <c r="BM32" s="660"/>
      <c r="BN32" s="660"/>
      <c r="BO32" s="660"/>
      <c r="BP32" s="660"/>
      <c r="BQ32" s="660"/>
      <c r="BR32" s="660"/>
      <c r="BS32" s="660"/>
      <c r="BU32" s="620"/>
      <c r="BV32" s="623"/>
      <c r="BW32" s="190"/>
      <c r="BX32" s="190"/>
      <c r="BY32" s="190"/>
      <c r="BZ32" s="190"/>
      <c r="CA32" s="190"/>
      <c r="CB32" s="190"/>
      <c r="CC32" s="190"/>
      <c r="CD32" s="190"/>
      <c r="CF32" s="620"/>
      <c r="CG32" s="530"/>
      <c r="CH32" s="655"/>
      <c r="CI32" s="678" t="s">
        <v>414</v>
      </c>
      <c r="CJ32" s="655"/>
      <c r="CK32" s="655">
        <v>4</v>
      </c>
      <c r="CL32" s="655"/>
      <c r="CM32" s="655">
        <v>7</v>
      </c>
      <c r="CN32" s="655"/>
      <c r="CO32" s="655"/>
      <c r="CP32" s="655"/>
      <c r="CQ32" s="655">
        <v>4</v>
      </c>
      <c r="CS32" s="620"/>
      <c r="CT32" s="530"/>
      <c r="DD32" s="190"/>
      <c r="DE32" s="620"/>
      <c r="DF32" s="530"/>
      <c r="DI32" s="660"/>
      <c r="DJ32" s="660"/>
      <c r="DK32" s="660"/>
      <c r="DL32" s="660"/>
      <c r="DM32" s="660"/>
      <c r="DN32" s="660"/>
      <c r="DO32" s="660"/>
      <c r="DP32" s="660"/>
      <c r="DQ32" s="660"/>
      <c r="DR32" s="660"/>
      <c r="DT32" s="620"/>
      <c r="DU32" s="530"/>
      <c r="DX32" s="660"/>
      <c r="DY32" s="660"/>
      <c r="DZ32" s="660"/>
      <c r="EA32" s="660"/>
      <c r="EB32" s="660"/>
      <c r="EC32" s="620"/>
      <c r="ED32" s="530"/>
      <c r="EK32" s="620"/>
      <c r="EL32" s="530"/>
      <c r="EM32" s="676"/>
      <c r="EN32" s="676"/>
      <c r="EO32" s="676"/>
      <c r="EP32" s="676"/>
      <c r="EQ32" s="676"/>
      <c r="ER32" s="676"/>
      <c r="ES32" s="676"/>
      <c r="ET32" s="676"/>
      <c r="EU32" s="742"/>
      <c r="EV32" s="676"/>
      <c r="EW32" s="676"/>
      <c r="EX32" s="676"/>
      <c r="EZ32" s="620"/>
      <c r="FA32" s="530"/>
      <c r="FF32" s="620"/>
      <c r="FG32" s="530"/>
      <c r="GH32" s="655" t="s">
        <v>421</v>
      </c>
      <c r="GI32" s="655">
        <v>3</v>
      </c>
      <c r="GJ32" s="655">
        <f t="shared" ref="GJ32:GQ32" si="135">+GI32+1</f>
        <v>4</v>
      </c>
      <c r="GK32" s="655">
        <f t="shared" si="135"/>
        <v>5</v>
      </c>
      <c r="GL32" s="655">
        <f t="shared" si="135"/>
        <v>6</v>
      </c>
      <c r="GM32" s="655">
        <f t="shared" si="135"/>
        <v>7</v>
      </c>
      <c r="GN32" s="655">
        <f t="shared" si="135"/>
        <v>8</v>
      </c>
      <c r="GO32" s="655">
        <f t="shared" si="135"/>
        <v>9</v>
      </c>
      <c r="GP32" s="655">
        <f t="shared" si="135"/>
        <v>10</v>
      </c>
      <c r="GQ32" s="655">
        <f t="shared" si="135"/>
        <v>11</v>
      </c>
      <c r="HT32" s="235"/>
      <c r="HU32" s="235"/>
      <c r="HZ32" s="620"/>
      <c r="IA32" s="530"/>
      <c r="IP32" s="530"/>
      <c r="JF32" s="660"/>
      <c r="JG32" s="660"/>
      <c r="JH32" s="660"/>
      <c r="JI32" s="660"/>
      <c r="JJ32" s="660"/>
      <c r="JK32" s="660"/>
      <c r="JL32" s="660"/>
      <c r="JM32" s="660"/>
      <c r="JN32" s="660"/>
      <c r="JO32" s="660"/>
    </row>
    <row r="33" spans="7:275" ht="16.5" x14ac:dyDescent="0.3">
      <c r="G33" s="620"/>
      <c r="H33" s="530"/>
      <c r="S33" s="620"/>
      <c r="T33" s="530"/>
      <c r="AA33" s="620"/>
      <c r="AB33" s="530"/>
      <c r="AH33" s="620"/>
      <c r="AI33" s="530"/>
      <c r="AJ33" s="530"/>
      <c r="AK33" s="530"/>
      <c r="AL33" s="530"/>
      <c r="BB33" s="620"/>
      <c r="BC33" s="530"/>
      <c r="BD33" s="530"/>
      <c r="BE33" s="530"/>
      <c r="BF33" s="530"/>
      <c r="BG33" s="530"/>
      <c r="BI33" s="620"/>
      <c r="BJ33" s="530"/>
      <c r="BM33" s="705" t="s">
        <v>414</v>
      </c>
      <c r="BN33" s="705">
        <v>9</v>
      </c>
      <c r="BO33" s="705"/>
      <c r="BP33" s="705">
        <v>4</v>
      </c>
      <c r="BQ33" s="705"/>
      <c r="BR33" s="705"/>
      <c r="BS33" s="705">
        <v>4</v>
      </c>
      <c r="BU33" s="620"/>
      <c r="BV33" s="623"/>
      <c r="BW33" s="190"/>
      <c r="BX33" s="190"/>
      <c r="BY33" s="190"/>
      <c r="BZ33" s="190"/>
      <c r="CA33" s="190"/>
      <c r="CB33" s="190"/>
      <c r="CC33" s="190"/>
      <c r="CD33" s="190"/>
      <c r="CF33" s="620"/>
      <c r="CG33" s="530"/>
      <c r="CH33" s="660"/>
      <c r="CI33" s="681"/>
      <c r="CJ33" s="660"/>
      <c r="CK33" s="660"/>
      <c r="CL33" s="660"/>
      <c r="CM33" s="660"/>
      <c r="CN33" s="660"/>
      <c r="CO33" s="660"/>
      <c r="CP33" s="660"/>
      <c r="CQ33" s="660"/>
      <c r="CS33" s="620"/>
      <c r="CT33" s="530"/>
      <c r="DD33" s="190"/>
      <c r="DE33" s="620"/>
      <c r="DF33" s="530"/>
      <c r="DI33" s="655" t="s">
        <v>414</v>
      </c>
      <c r="DJ33" s="655">
        <v>8</v>
      </c>
      <c r="DK33" s="655"/>
      <c r="DL33" s="655">
        <v>7</v>
      </c>
      <c r="DM33" s="655"/>
      <c r="DN33" s="655">
        <v>4</v>
      </c>
      <c r="DO33" s="655"/>
      <c r="DP33" s="655"/>
      <c r="DQ33" s="655"/>
      <c r="DR33" s="655">
        <v>4</v>
      </c>
      <c r="DT33" s="620"/>
      <c r="DU33" s="530"/>
      <c r="DX33" s="655" t="s">
        <v>414</v>
      </c>
      <c r="DY33" s="655">
        <v>7</v>
      </c>
      <c r="DZ33" s="655"/>
      <c r="EA33" s="655">
        <v>4</v>
      </c>
      <c r="EB33" s="660"/>
      <c r="EC33" s="620"/>
      <c r="ED33" s="530"/>
      <c r="EK33" s="620"/>
      <c r="EL33" s="530"/>
      <c r="EM33" s="705"/>
      <c r="EN33" s="705"/>
      <c r="EO33" s="705" t="s">
        <v>414</v>
      </c>
      <c r="EP33" s="743">
        <v>4</v>
      </c>
      <c r="EQ33" s="743"/>
      <c r="ER33" s="743">
        <v>8</v>
      </c>
      <c r="ES33" s="743"/>
      <c r="ET33" s="743">
        <v>4</v>
      </c>
      <c r="EU33" s="744"/>
      <c r="EV33" s="743"/>
      <c r="EW33" s="743"/>
      <c r="EX33" s="743">
        <v>4</v>
      </c>
      <c r="EZ33" s="620"/>
      <c r="FA33" s="530"/>
      <c r="FF33" s="620"/>
      <c r="FG33" s="530"/>
      <c r="FS33" s="948" t="s">
        <v>414</v>
      </c>
      <c r="FT33" s="655">
        <v>8</v>
      </c>
      <c r="FU33" s="655">
        <v>7</v>
      </c>
      <c r="FV33" s="655">
        <v>7</v>
      </c>
      <c r="FW33" s="655">
        <v>9</v>
      </c>
      <c r="FX33" s="655">
        <v>4</v>
      </c>
      <c r="FY33" s="655"/>
      <c r="FZ33" s="655">
        <v>4</v>
      </c>
      <c r="GA33" s="655"/>
      <c r="GB33" s="655">
        <v>4</v>
      </c>
      <c r="HZ33" s="620"/>
      <c r="IA33" s="530"/>
      <c r="IP33" s="530"/>
      <c r="JF33" s="660"/>
      <c r="JG33" s="660"/>
      <c r="JH33" s="660"/>
      <c r="JI33" s="660"/>
      <c r="JJ33" s="660"/>
      <c r="JK33" s="660"/>
      <c r="JL33" s="660"/>
      <c r="JM33" s="660"/>
      <c r="JN33" s="660"/>
      <c r="JO33" s="660"/>
    </row>
    <row r="34" spans="7:275" ht="16.5" x14ac:dyDescent="0.3">
      <c r="G34" s="620"/>
      <c r="H34" s="530"/>
      <c r="K34" s="627" t="s">
        <v>414</v>
      </c>
      <c r="L34" s="630">
        <v>3</v>
      </c>
      <c r="M34" s="630"/>
      <c r="N34" s="630"/>
      <c r="O34" s="630"/>
      <c r="P34" s="630"/>
      <c r="Q34" s="630">
        <v>4</v>
      </c>
      <c r="S34" s="620"/>
      <c r="T34" s="530"/>
      <c r="AA34" s="620"/>
      <c r="AB34" s="530"/>
      <c r="AH34" s="620"/>
      <c r="AI34" s="530"/>
      <c r="AJ34" s="530"/>
      <c r="AK34" s="530"/>
      <c r="AL34" s="530"/>
      <c r="BB34" s="620"/>
      <c r="BC34" s="530"/>
      <c r="BD34" s="530"/>
      <c r="BE34" s="530"/>
      <c r="BF34" s="530"/>
      <c r="BG34" s="530"/>
      <c r="BI34" s="620"/>
      <c r="BJ34" s="530"/>
      <c r="BM34" s="706" t="s">
        <v>421</v>
      </c>
      <c r="BN34" s="706"/>
      <c r="BO34" s="706"/>
      <c r="BP34" s="706"/>
      <c r="BQ34" s="706"/>
      <c r="BR34" s="705"/>
      <c r="BS34" s="705"/>
      <c r="BU34" s="620"/>
      <c r="BV34" s="623"/>
      <c r="BW34" s="190"/>
      <c r="BX34" s="190"/>
      <c r="BY34" s="190"/>
      <c r="BZ34" s="190"/>
      <c r="CA34" s="190"/>
      <c r="CB34" s="190"/>
      <c r="CC34" s="190"/>
      <c r="CD34" s="190"/>
      <c r="CF34" s="620"/>
      <c r="CG34" s="530"/>
      <c r="CS34" s="620"/>
      <c r="CT34" s="530"/>
      <c r="DD34" s="190"/>
      <c r="DE34" s="620"/>
      <c r="DF34" s="530"/>
      <c r="DI34" s="660"/>
      <c r="DJ34" s="660"/>
      <c r="DK34" s="660"/>
      <c r="DL34" s="660"/>
      <c r="DM34" s="660"/>
      <c r="DN34" s="660"/>
      <c r="DO34" s="660"/>
      <c r="DP34" s="660"/>
      <c r="DQ34" s="660"/>
      <c r="DR34" s="660"/>
      <c r="DT34" s="620"/>
      <c r="DU34" s="530"/>
      <c r="DX34" s="660"/>
      <c r="DY34" s="660"/>
      <c r="DZ34" s="660"/>
      <c r="EA34" s="660"/>
      <c r="EB34" s="660"/>
      <c r="EC34" s="620"/>
      <c r="ED34" s="530"/>
      <c r="EK34" s="620"/>
      <c r="EL34" s="530"/>
      <c r="EM34" s="660"/>
      <c r="EN34" s="660"/>
      <c r="EO34" s="660"/>
      <c r="EP34" s="660"/>
      <c r="EQ34" s="660"/>
      <c r="ER34" s="660"/>
      <c r="ES34" s="660"/>
      <c r="ET34" s="660"/>
      <c r="EU34" s="660"/>
      <c r="EV34" s="660"/>
      <c r="EW34" s="660"/>
      <c r="EX34" s="660"/>
      <c r="EZ34" s="620"/>
      <c r="FA34" s="530"/>
      <c r="FF34" s="620"/>
      <c r="FG34" s="530"/>
      <c r="FS34" s="655" t="s">
        <v>421</v>
      </c>
      <c r="FT34" s="655">
        <v>1</v>
      </c>
      <c r="FU34" s="655">
        <f t="shared" ref="FU34:GB34" si="136">+FT34+1</f>
        <v>2</v>
      </c>
      <c r="FV34" s="655">
        <f t="shared" si="136"/>
        <v>3</v>
      </c>
      <c r="FW34" s="655">
        <f t="shared" si="136"/>
        <v>4</v>
      </c>
      <c r="FX34" s="655">
        <f t="shared" si="136"/>
        <v>5</v>
      </c>
      <c r="FY34" s="655">
        <v>9</v>
      </c>
      <c r="FZ34" s="655">
        <f t="shared" si="136"/>
        <v>10</v>
      </c>
      <c r="GA34" s="655">
        <f t="shared" si="136"/>
        <v>11</v>
      </c>
      <c r="GB34" s="655">
        <f t="shared" si="136"/>
        <v>12</v>
      </c>
      <c r="GW34" s="780" t="s">
        <v>420</v>
      </c>
      <c r="GX34" s="782">
        <v>4</v>
      </c>
      <c r="GY34" s="782">
        <v>10</v>
      </c>
      <c r="GZ34" s="782">
        <v>11</v>
      </c>
      <c r="HA34" s="782"/>
      <c r="HB34" s="782"/>
      <c r="HC34" s="782"/>
      <c r="HD34" s="209"/>
      <c r="HG34" s="209"/>
      <c r="HH34" s="209"/>
      <c r="HI34" s="209"/>
      <c r="HJ34" s="209"/>
      <c r="HK34" s="209"/>
      <c r="HL34" s="209"/>
      <c r="HM34" s="209"/>
      <c r="HU34" s="465"/>
      <c r="HZ34" s="620"/>
      <c r="IA34" s="530"/>
      <c r="IP34" s="530"/>
      <c r="JF34" s="660"/>
      <c r="JG34" s="660"/>
      <c r="JH34" s="660"/>
      <c r="JI34" s="660"/>
      <c r="JJ34" s="660"/>
      <c r="JK34" s="660"/>
      <c r="JL34" s="660"/>
      <c r="JM34" s="660"/>
      <c r="JN34" s="660"/>
      <c r="JO34" s="660"/>
    </row>
    <row r="35" spans="7:275" ht="16.5" x14ac:dyDescent="0.3">
      <c r="G35" s="620"/>
      <c r="H35" s="530"/>
      <c r="L35" s="209"/>
      <c r="M35" s="209"/>
      <c r="N35" s="209"/>
      <c r="O35" s="209"/>
      <c r="P35" s="209"/>
      <c r="Q35" s="209"/>
      <c r="S35" s="620"/>
      <c r="T35" s="530"/>
      <c r="AA35" s="620"/>
      <c r="AB35" s="530"/>
      <c r="AH35" s="620"/>
      <c r="AI35" s="530"/>
      <c r="AJ35" s="530"/>
      <c r="AK35" s="530"/>
      <c r="AL35" s="530"/>
      <c r="BB35" s="620"/>
      <c r="BC35" s="530"/>
      <c r="BI35" s="620"/>
      <c r="BJ35" s="530"/>
      <c r="BM35" s="660"/>
      <c r="BN35" s="660"/>
      <c r="BO35" s="660"/>
      <c r="BP35" s="660"/>
      <c r="BQ35" s="660"/>
      <c r="BR35" s="660"/>
      <c r="BS35" s="660"/>
      <c r="BU35" s="620"/>
      <c r="BV35" s="623"/>
      <c r="BW35" s="190"/>
      <c r="BX35" s="190"/>
      <c r="BY35" s="190"/>
      <c r="BZ35" s="190"/>
      <c r="CA35" s="190"/>
      <c r="CB35" s="190"/>
      <c r="CC35" s="190"/>
      <c r="CD35" s="190"/>
      <c r="CF35" s="620"/>
      <c r="CG35" s="530"/>
      <c r="CS35" s="620"/>
      <c r="CT35" s="530"/>
      <c r="DD35" s="190"/>
      <c r="DE35" s="620"/>
      <c r="DT35" s="620"/>
      <c r="EC35" s="620"/>
      <c r="ED35" s="530"/>
      <c r="EK35" s="620"/>
      <c r="EL35" s="530"/>
      <c r="EZ35" s="620"/>
      <c r="FA35" s="530"/>
      <c r="FF35" s="620"/>
      <c r="GW35" s="706" t="s">
        <v>415</v>
      </c>
      <c r="GX35" s="782">
        <v>2</v>
      </c>
      <c r="GY35" s="782">
        <f>GX35+1</f>
        <v>3</v>
      </c>
      <c r="GZ35" s="782">
        <f t="shared" ref="GZ35:HC35" si="137">GY35+1</f>
        <v>4</v>
      </c>
      <c r="HA35" s="782">
        <f t="shared" si="137"/>
        <v>5</v>
      </c>
      <c r="HB35" s="782">
        <f t="shared" si="137"/>
        <v>6</v>
      </c>
      <c r="HC35" s="782">
        <f t="shared" si="137"/>
        <v>7</v>
      </c>
      <c r="HD35" s="209"/>
      <c r="HG35" s="209"/>
      <c r="HH35" s="209"/>
      <c r="HI35" s="209"/>
      <c r="HJ35" s="209"/>
      <c r="HK35" s="209"/>
      <c r="HL35" s="209"/>
      <c r="HM35" s="209"/>
      <c r="HU35" s="236"/>
      <c r="HZ35" s="620"/>
      <c r="IA35" s="530"/>
      <c r="IP35" s="530"/>
    </row>
    <row r="36" spans="7:275" x14ac:dyDescent="0.25">
      <c r="L36" s="209"/>
      <c r="M36" s="209"/>
      <c r="N36" s="209"/>
      <c r="O36" s="209"/>
      <c r="P36" s="209"/>
      <c r="Q36" s="209"/>
      <c r="AM36" s="631"/>
      <c r="AN36" s="632"/>
      <c r="BV36" s="190"/>
      <c r="BW36" s="190"/>
      <c r="BX36" s="190"/>
      <c r="BY36" s="190"/>
      <c r="BZ36" s="190"/>
      <c r="CA36" s="190"/>
      <c r="CB36" s="190"/>
      <c r="CC36" s="190"/>
      <c r="CD36" s="190"/>
      <c r="CG36" s="530"/>
      <c r="DD36" s="190"/>
    </row>
    <row r="37" spans="7:275" x14ac:dyDescent="0.25">
      <c r="BV37" s="190"/>
      <c r="BW37" s="190"/>
      <c r="BX37" s="190"/>
      <c r="BY37" s="190"/>
      <c r="BZ37" s="190"/>
      <c r="CA37" s="190"/>
      <c r="CB37" s="190"/>
      <c r="CC37" s="190"/>
      <c r="CD37" s="190"/>
      <c r="DD37" s="190"/>
    </row>
    <row r="38" spans="7:275" x14ac:dyDescent="0.25">
      <c r="BV38" s="190"/>
      <c r="BW38" s="190"/>
      <c r="BX38" s="190"/>
      <c r="BY38" s="190"/>
      <c r="BZ38" s="190"/>
      <c r="CA38" s="190"/>
      <c r="CB38" s="190"/>
      <c r="CC38" s="190"/>
      <c r="CD38" s="190"/>
      <c r="DD38" s="190"/>
    </row>
    <row r="39" spans="7:275" x14ac:dyDescent="0.25">
      <c r="BV39" s="190"/>
      <c r="BW39" s="190"/>
      <c r="BX39" s="190"/>
      <c r="BY39" s="190"/>
      <c r="BZ39" s="190"/>
      <c r="CA39" s="190"/>
      <c r="CB39" s="190"/>
      <c r="CC39" s="190"/>
      <c r="CD39" s="190"/>
      <c r="DD39" s="190"/>
    </row>
    <row r="40" spans="7:275" x14ac:dyDescent="0.25">
      <c r="BV40" s="190"/>
      <c r="BW40" s="190"/>
      <c r="BX40" s="190"/>
      <c r="BY40" s="190"/>
      <c r="BZ40" s="190"/>
      <c r="CA40" s="190"/>
      <c r="CB40" s="190"/>
      <c r="CC40" s="190"/>
      <c r="CD40" s="190"/>
      <c r="DD40" s="190"/>
    </row>
    <row r="41" spans="7:275" x14ac:dyDescent="0.25">
      <c r="BV41" s="190"/>
      <c r="BW41" s="190"/>
      <c r="BX41" s="190"/>
      <c r="BY41" s="190"/>
      <c r="BZ41" s="190"/>
      <c r="CA41" s="190"/>
      <c r="CB41" s="190"/>
      <c r="CC41" s="190"/>
      <c r="CD41" s="190"/>
      <c r="DD41" s="190"/>
    </row>
    <row r="42" spans="7:275" x14ac:dyDescent="0.25">
      <c r="BV42" s="190"/>
      <c r="BW42" s="190"/>
      <c r="BX42" s="190"/>
      <c r="BY42" s="190"/>
      <c r="BZ42" s="190"/>
      <c r="CA42" s="190"/>
      <c r="CB42" s="190"/>
      <c r="CC42" s="190"/>
      <c r="CD42" s="190"/>
      <c r="DD42" s="190"/>
    </row>
    <row r="43" spans="7:275" x14ac:dyDescent="0.25">
      <c r="BV43" s="190"/>
      <c r="BW43" s="190"/>
      <c r="BX43" s="190"/>
      <c r="BY43" s="190"/>
      <c r="BZ43" s="190"/>
      <c r="CA43" s="190"/>
      <c r="CB43" s="190"/>
      <c r="CC43" s="190"/>
      <c r="CD43" s="190"/>
      <c r="DD43" s="190"/>
    </row>
    <row r="44" spans="7:275" x14ac:dyDescent="0.25">
      <c r="BV44" s="190"/>
      <c r="BW44" s="190"/>
      <c r="BX44" s="190"/>
      <c r="BY44" s="190"/>
      <c r="BZ44" s="190"/>
      <c r="CA44" s="190"/>
      <c r="CB44" s="190"/>
      <c r="CC44" s="190"/>
      <c r="CD44" s="190"/>
      <c r="DD44" s="190"/>
    </row>
    <row r="45" spans="7:275" x14ac:dyDescent="0.25">
      <c r="BV45" s="190"/>
      <c r="BW45" s="190"/>
      <c r="BX45" s="190"/>
      <c r="BY45" s="190"/>
      <c r="BZ45" s="190"/>
      <c r="CA45" s="190"/>
      <c r="CB45" s="190"/>
      <c r="CC45" s="190"/>
      <c r="CD45" s="190"/>
      <c r="DD45" s="190"/>
    </row>
    <row r="46" spans="7:275" x14ac:dyDescent="0.25">
      <c r="BV46" s="190"/>
      <c r="BW46" s="190"/>
      <c r="BX46" s="190"/>
      <c r="BY46" s="190"/>
      <c r="BZ46" s="190"/>
      <c r="CA46" s="190"/>
      <c r="CB46" s="190"/>
      <c r="CC46" s="190"/>
      <c r="CD46" s="190"/>
      <c r="DD46" s="190"/>
    </row>
    <row r="47" spans="7:275" x14ac:dyDescent="0.25">
      <c r="BV47" s="190"/>
      <c r="BW47" s="190"/>
      <c r="BX47" s="190"/>
      <c r="BY47" s="190"/>
      <c r="BZ47" s="190"/>
      <c r="CA47" s="190"/>
      <c r="CB47" s="190"/>
      <c r="CC47" s="190"/>
      <c r="CD47" s="190"/>
      <c r="DD47" s="190"/>
    </row>
    <row r="48" spans="7:275" x14ac:dyDescent="0.25">
      <c r="BV48" s="190"/>
      <c r="BW48" s="190"/>
      <c r="BX48" s="190"/>
      <c r="BY48" s="190"/>
      <c r="BZ48" s="190"/>
      <c r="CA48" s="190"/>
      <c r="CB48" s="190"/>
      <c r="CC48" s="190"/>
      <c r="CD48" s="190"/>
      <c r="DD48" s="190"/>
    </row>
    <row r="49" spans="74:108" x14ac:dyDescent="0.25">
      <c r="BV49" s="190"/>
      <c r="BW49" s="190"/>
      <c r="BX49" s="190"/>
      <c r="BY49" s="190"/>
      <c r="BZ49" s="190"/>
      <c r="CA49" s="190"/>
      <c r="CB49" s="190"/>
      <c r="CC49" s="190"/>
      <c r="CD49" s="190"/>
      <c r="DD49" s="190"/>
    </row>
    <row r="50" spans="74:108" x14ac:dyDescent="0.25">
      <c r="BV50" s="190"/>
      <c r="BW50" s="190"/>
      <c r="BX50" s="190"/>
      <c r="BY50" s="190"/>
      <c r="BZ50" s="190"/>
      <c r="CA50" s="190"/>
      <c r="CB50" s="190"/>
      <c r="CC50" s="190"/>
      <c r="CD50" s="190"/>
      <c r="DD50" s="190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BD1:BG1"/>
    <mergeCell ref="BK1:BS1"/>
    <mergeCell ref="BW1:CD1"/>
    <mergeCell ref="CH1:CQ1"/>
    <mergeCell ref="CU1:DC1"/>
    <mergeCell ref="DG1:DR1"/>
    <mergeCell ref="A1:E1"/>
    <mergeCell ref="I1:Q1"/>
    <mergeCell ref="U1:Y1"/>
    <mergeCell ref="AC1:AF1"/>
    <mergeCell ref="AJ1:AL1"/>
    <mergeCell ref="AP1:AZ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6CFB-8B67-4ECB-9331-3C9E40B1D76B}">
  <sheetPr>
    <tabColor theme="3" tint="0.39997558519241921"/>
    <pageSetUpPr fitToPage="1"/>
  </sheetPr>
  <dimension ref="A1:OO54"/>
  <sheetViews>
    <sheetView zoomScale="80" zoomScaleNormal="80" workbookViewId="0">
      <selection activeCell="L32" sqref="L32"/>
    </sheetView>
  </sheetViews>
  <sheetFormatPr defaultColWidth="9.85546875" defaultRowHeight="15" x14ac:dyDescent="0.25"/>
  <cols>
    <col min="1" max="1" width="1.140625" style="12" customWidth="1"/>
    <col min="2" max="2" width="3.85546875" style="12" customWidth="1"/>
    <col min="3" max="4" width="2.28515625" style="12" customWidth="1"/>
    <col min="5" max="5" width="31.5703125" style="12" customWidth="1"/>
    <col min="6" max="6" width="18.140625" style="12" customWidth="1"/>
    <col min="7" max="7" width="11.5703125" style="12" customWidth="1"/>
    <col min="8" max="8" width="17" style="12" customWidth="1"/>
    <col min="9" max="9" width="11.42578125" style="12" customWidth="1"/>
    <col min="10" max="11" width="16.42578125" style="12" customWidth="1"/>
    <col min="12" max="12" width="11" style="12" customWidth="1"/>
    <col min="13" max="13" width="15.85546875" style="12" customWidth="1"/>
    <col min="14" max="14" width="17" style="12" customWidth="1"/>
    <col min="15" max="15" width="11.42578125" style="12" customWidth="1"/>
    <col min="16" max="16" width="17.5703125" style="12" customWidth="1"/>
    <col min="17" max="18" width="16.42578125" style="12" customWidth="1"/>
    <col min="19" max="19" width="6.5703125" style="12" customWidth="1"/>
    <col min="20" max="20" width="6.5703125" style="13" customWidth="1"/>
    <col min="21" max="21" width="6.5703125" style="12" customWidth="1"/>
    <col min="22" max="22" width="4.42578125" style="12" customWidth="1"/>
    <col min="23" max="23" width="59" style="12" customWidth="1"/>
    <col min="24" max="27" width="14.140625" style="12" customWidth="1"/>
    <col min="28" max="28" width="2.85546875" style="12" customWidth="1"/>
    <col min="29" max="29" width="5.5703125" style="12" customWidth="1"/>
    <col min="30" max="30" width="6" style="13" customWidth="1"/>
    <col min="31" max="31" width="6" style="12" customWidth="1"/>
    <col min="32" max="32" width="4.42578125" style="12" customWidth="1"/>
    <col min="33" max="33" width="25.7109375" style="12" customWidth="1"/>
    <col min="34" max="36" width="19.140625" style="12" customWidth="1"/>
    <col min="37" max="37" width="6.5703125" style="12" customWidth="1"/>
    <col min="38" max="38" width="3.85546875" style="13" customWidth="1"/>
    <col min="39" max="39" width="2.28515625" style="12" customWidth="1"/>
    <col min="40" max="40" width="3.85546875" style="12" customWidth="1"/>
    <col min="41" max="42" width="2.28515625" style="12" customWidth="1"/>
    <col min="43" max="43" width="23.7109375" style="12" customWidth="1"/>
    <col min="44" max="44" width="2.42578125" style="12" customWidth="1"/>
    <col min="45" max="45" width="15.85546875" style="12" hidden="1" customWidth="1"/>
    <col min="46" max="46" width="16.42578125" style="12" hidden="1" customWidth="1"/>
    <col min="47" max="47" width="2.28515625" style="12" hidden="1" customWidth="1"/>
    <col min="48" max="48" width="14.7109375" style="12" hidden="1" customWidth="1"/>
    <col min="49" max="49" width="15.85546875" style="12" hidden="1" customWidth="1"/>
    <col min="50" max="50" width="11.5703125" style="12" hidden="1" customWidth="1"/>
    <col min="51" max="51" width="1.7109375" style="12" hidden="1" customWidth="1"/>
    <col min="52" max="52" width="14.7109375" style="12" hidden="1" customWidth="1"/>
    <col min="53" max="53" width="15.85546875" style="12" hidden="1" customWidth="1"/>
    <col min="54" max="54" width="11.5703125" style="12" hidden="1" customWidth="1"/>
    <col min="55" max="55" width="2.28515625" style="12" hidden="1" customWidth="1"/>
    <col min="56" max="56" width="14.7109375" style="12" hidden="1" customWidth="1"/>
    <col min="57" max="57" width="15.85546875" style="12" hidden="1" customWidth="1"/>
    <col min="58" max="58" width="11.5703125" style="12" hidden="1" customWidth="1"/>
    <col min="59" max="59" width="2.28515625" style="12" hidden="1" customWidth="1"/>
    <col min="60" max="60" width="14.7109375" style="12" hidden="1" customWidth="1"/>
    <col min="61" max="61" width="15.85546875" style="12" hidden="1" customWidth="1"/>
    <col min="62" max="62" width="11.5703125" style="12" hidden="1" customWidth="1"/>
    <col min="63" max="63" width="1.7109375" style="12" hidden="1" customWidth="1"/>
    <col min="64" max="64" width="14.7109375" style="12" hidden="1" customWidth="1"/>
    <col min="65" max="65" width="15.85546875" style="12" hidden="1" customWidth="1"/>
    <col min="66" max="66" width="11.5703125" style="12" hidden="1" customWidth="1"/>
    <col min="67" max="67" width="1.7109375" style="12" hidden="1" customWidth="1"/>
    <col min="68" max="68" width="14.7109375" style="12" hidden="1" customWidth="1"/>
    <col min="69" max="69" width="15.85546875" style="12" hidden="1" customWidth="1"/>
    <col min="70" max="70" width="11.5703125" style="12" hidden="1" customWidth="1"/>
    <col min="71" max="71" width="1.7109375" style="12" hidden="1" customWidth="1"/>
    <col min="72" max="72" width="17.5703125" style="12" hidden="1" customWidth="1"/>
    <col min="73" max="80" width="15.85546875" style="12" hidden="1" customWidth="1"/>
    <col min="81" max="81" width="15.85546875" style="12" customWidth="1"/>
    <col min="82" max="82" width="14.7109375" style="12" customWidth="1"/>
    <col min="83" max="83" width="15.85546875" style="12" hidden="1" customWidth="1"/>
    <col min="84" max="84" width="17.5703125" style="12" customWidth="1"/>
    <col min="85" max="85" width="14.42578125" style="12" customWidth="1"/>
    <col min="86" max="86" width="10.5703125" style="12" bestFit="1" customWidth="1"/>
    <col min="87" max="87" width="13.5703125" style="12" customWidth="1"/>
    <col min="88" max="88" width="12.5703125" style="12" bestFit="1" customWidth="1"/>
    <col min="89" max="89" width="9.85546875" style="12" customWidth="1"/>
    <col min="90" max="90" width="2.85546875" style="13" customWidth="1"/>
    <col min="91" max="91" width="2.85546875" style="12" customWidth="1"/>
    <col min="92" max="92" width="4.42578125" style="12" customWidth="1"/>
    <col min="93" max="93" width="16.42578125" style="12" customWidth="1"/>
    <col min="94" max="94" width="14.85546875" style="12" customWidth="1"/>
    <col min="95" max="95" width="16.42578125" style="12" bestFit="1" customWidth="1"/>
    <col min="96" max="96" width="14.85546875" style="12" customWidth="1"/>
    <col min="97" max="97" width="16.7109375" style="12" bestFit="1" customWidth="1"/>
    <col min="98" max="98" width="14.85546875" style="12" customWidth="1"/>
    <col min="99" max="99" width="16.7109375" style="12" customWidth="1"/>
    <col min="100" max="100" width="14.85546875" style="12" customWidth="1"/>
    <col min="101" max="101" width="16.7109375" style="12" bestFit="1" customWidth="1"/>
    <col min="102" max="102" width="2.85546875" style="12" customWidth="1"/>
    <col min="103" max="103" width="2.85546875" style="13" customWidth="1"/>
    <col min="104" max="104" width="2.85546875" style="12" customWidth="1"/>
    <col min="105" max="105" width="5" style="12" customWidth="1"/>
    <col min="106" max="106" width="16.42578125" style="12" customWidth="1"/>
    <col min="107" max="107" width="15.85546875" style="12" customWidth="1"/>
    <col min="108" max="108" width="15.85546875" style="16" customWidth="1"/>
    <col min="109" max="110" width="15.85546875" style="12" customWidth="1"/>
    <col min="111" max="111" width="19.140625" style="12" customWidth="1"/>
    <col min="112" max="112" width="2.85546875" style="12" customWidth="1"/>
    <col min="113" max="113" width="2.85546875" style="13" customWidth="1"/>
    <col min="114" max="114" width="2.85546875" style="12" customWidth="1"/>
    <col min="115" max="115" width="5" style="12" customWidth="1"/>
    <col min="116" max="116" width="14.85546875" style="12" customWidth="1"/>
    <col min="117" max="117" width="17" style="12" customWidth="1"/>
    <col min="118" max="118" width="17" style="16" customWidth="1"/>
    <col min="119" max="120" width="17" style="12" customWidth="1"/>
    <col min="121" max="121" width="2.85546875" style="12" customWidth="1"/>
    <col min="122" max="122" width="2.85546875" style="13" customWidth="1"/>
    <col min="123" max="123" width="2.28515625" style="12" customWidth="1"/>
    <col min="124" max="124" width="5" style="12" customWidth="1"/>
    <col min="125" max="125" width="33.28515625" style="17" customWidth="1"/>
    <col min="126" max="126" width="14.85546875" style="18" customWidth="1"/>
    <col min="127" max="127" width="15.85546875" style="18" customWidth="1"/>
    <col min="128" max="128" width="15.85546875" style="18" bestFit="1" customWidth="1"/>
    <col min="129" max="129" width="16.42578125" style="18" bestFit="1" customWidth="1"/>
    <col min="130" max="131" width="14.85546875" style="12" customWidth="1"/>
    <col min="132" max="133" width="16.42578125" style="12" bestFit="1" customWidth="1"/>
    <col min="134" max="134" width="2.85546875" style="12" customWidth="1"/>
    <col min="135" max="135" width="2.85546875" style="13" customWidth="1"/>
    <col min="136" max="136" width="2.85546875" style="12" customWidth="1"/>
    <col min="137" max="137" width="5" style="12" customWidth="1"/>
    <col min="138" max="138" width="16.42578125" style="12" customWidth="1"/>
    <col min="139" max="146" width="14.85546875" style="12" customWidth="1"/>
    <col min="147" max="147" width="2.85546875" style="12" customWidth="1"/>
    <col min="148" max="148" width="2.85546875" style="13" customWidth="1"/>
    <col min="149" max="149" width="2.85546875" style="12" customWidth="1"/>
    <col min="150" max="150" width="4.42578125" style="12" customWidth="1"/>
    <col min="151" max="151" width="15.85546875" style="12" customWidth="1"/>
    <col min="152" max="153" width="14.85546875" style="12" bestFit="1" customWidth="1"/>
    <col min="154" max="154" width="14" style="12" bestFit="1" customWidth="1"/>
    <col min="155" max="155" width="14.85546875" style="12" bestFit="1" customWidth="1"/>
    <col min="156" max="156" width="13.7109375" style="12" customWidth="1"/>
    <col min="157" max="158" width="14.85546875" style="12" bestFit="1" customWidth="1"/>
    <col min="159" max="159" width="15.140625" style="12" bestFit="1" customWidth="1"/>
    <col min="160" max="160" width="15.85546875" style="12" customWidth="1"/>
    <col min="161" max="161" width="21" style="12" customWidth="1"/>
    <col min="162" max="162" width="15.85546875" style="12" customWidth="1"/>
    <col min="163" max="163" width="2.85546875" style="12" customWidth="1"/>
    <col min="164" max="164" width="2.85546875" style="13" customWidth="1"/>
    <col min="165" max="165" width="2.85546875" style="12" customWidth="1"/>
    <col min="166" max="166" width="5" style="12" customWidth="1"/>
    <col min="167" max="167" width="1.140625" style="12" customWidth="1"/>
    <col min="168" max="168" width="36.5703125" style="12" customWidth="1"/>
    <col min="169" max="170" width="14.85546875" style="12" bestFit="1" customWidth="1"/>
    <col min="171" max="171" width="15.140625" style="12" bestFit="1" customWidth="1"/>
    <col min="172" max="172" width="16.42578125" style="12" bestFit="1" customWidth="1"/>
    <col min="173" max="173" width="14.28515625" style="12" bestFit="1" customWidth="1"/>
    <col min="174" max="175" width="15.140625" style="12" bestFit="1" customWidth="1"/>
    <col min="176" max="176" width="14.85546875" style="12" bestFit="1" customWidth="1"/>
    <col min="177" max="177" width="20.28515625" style="12" customWidth="1"/>
    <col min="178" max="178" width="2.85546875" style="12" customWidth="1"/>
    <col min="179" max="179" width="2.85546875" style="13" customWidth="1"/>
    <col min="180" max="180" width="2.85546875" style="12" customWidth="1"/>
    <col min="181" max="181" width="9.85546875" style="12" customWidth="1"/>
    <col min="182" max="182" width="26.28515625" style="12" customWidth="1"/>
    <col min="183" max="183" width="12.85546875" style="12" bestFit="1" customWidth="1"/>
    <col min="184" max="184" width="12.5703125" style="12" bestFit="1" customWidth="1"/>
    <col min="185" max="185" width="14.28515625" style="12" bestFit="1" customWidth="1"/>
    <col min="186" max="186" width="15.140625" style="12" bestFit="1" customWidth="1"/>
    <col min="187" max="187" width="11" style="12" bestFit="1" customWidth="1"/>
    <col min="188" max="188" width="11.7109375" style="12" customWidth="1"/>
    <col min="189" max="189" width="12.140625" style="12" bestFit="1" customWidth="1"/>
    <col min="190" max="190" width="12.5703125" style="12" bestFit="1" customWidth="1"/>
    <col min="191" max="191" width="2.85546875" style="12" customWidth="1"/>
    <col min="192" max="192" width="2.85546875" style="13" customWidth="1"/>
    <col min="193" max="193" width="2.85546875" style="12" customWidth="1"/>
    <col min="194" max="194" width="5" style="12" customWidth="1"/>
    <col min="195" max="195" width="15.85546875" style="12" customWidth="1"/>
    <col min="196" max="198" width="16.42578125" style="12" customWidth="1"/>
    <col min="199" max="199" width="18.42578125" style="12" bestFit="1" customWidth="1"/>
    <col min="200" max="203" width="16.42578125" style="12" customWidth="1"/>
    <col min="204" max="204" width="2.85546875" style="12" customWidth="1"/>
    <col min="205" max="205" width="2.85546875" style="13" customWidth="1"/>
    <col min="206" max="206" width="2.85546875" style="12" customWidth="1"/>
    <col min="207" max="207" width="2.7109375" style="12" customWidth="1"/>
    <col min="208" max="208" width="5.42578125" style="12" customWidth="1"/>
    <col min="209" max="209" width="8.85546875" style="12" bestFit="1" customWidth="1"/>
    <col min="210" max="210" width="15" style="12" bestFit="1" customWidth="1"/>
    <col min="211" max="211" width="14.42578125" style="12" bestFit="1" customWidth="1"/>
    <col min="212" max="213" width="21.85546875" style="12" bestFit="1" customWidth="1"/>
    <col min="214" max="214" width="8.140625" style="12" bestFit="1" customWidth="1"/>
    <col min="215" max="215" width="9.5703125" style="12" bestFit="1" customWidth="1"/>
    <col min="216" max="218" width="9.85546875" style="12" bestFit="1" customWidth="1"/>
    <col min="219" max="219" width="3.85546875" style="12" customWidth="1"/>
    <col min="220" max="220" width="3.85546875" style="13" customWidth="1"/>
    <col min="221" max="221" width="3.85546875" style="12" customWidth="1"/>
    <col min="222" max="222" width="5" style="12" customWidth="1"/>
    <col min="223" max="223" width="10.85546875" style="12" customWidth="1"/>
    <col min="224" max="224" width="11.28515625" style="12" customWidth="1"/>
    <col min="225" max="225" width="18.42578125" style="12" customWidth="1"/>
    <col min="226" max="226" width="14.42578125" style="12" bestFit="1" customWidth="1"/>
    <col min="227" max="227" width="17.85546875" style="12" bestFit="1" customWidth="1"/>
    <col min="228" max="228" width="18.140625" style="12" bestFit="1" customWidth="1"/>
    <col min="229" max="229" width="16.7109375" style="12" bestFit="1" customWidth="1"/>
    <col min="230" max="230" width="15.85546875" style="12" bestFit="1" customWidth="1"/>
    <col min="231" max="232" width="14.85546875" style="12" customWidth="1"/>
    <col min="233" max="233" width="15.5703125" style="12" bestFit="1" customWidth="1"/>
    <col min="234" max="234" width="14.7109375" style="12" bestFit="1" customWidth="1"/>
    <col min="235" max="235" width="3.85546875" style="12" customWidth="1"/>
    <col min="236" max="236" width="3.85546875" style="13" customWidth="1"/>
    <col min="237" max="237" width="3.85546875" style="12" customWidth="1"/>
    <col min="238" max="238" width="5" style="12" customWidth="1"/>
    <col min="239" max="239" width="15.42578125" style="12" customWidth="1"/>
    <col min="240" max="240" width="8.140625" style="12" customWidth="1"/>
    <col min="241" max="241" width="9.85546875" style="12" customWidth="1"/>
    <col min="242" max="243" width="16.7109375" style="12" bestFit="1" customWidth="1"/>
    <col min="244" max="244" width="14.85546875" style="12" bestFit="1" customWidth="1"/>
    <col min="245" max="245" width="14.85546875" style="411" bestFit="1" customWidth="1"/>
    <col min="246" max="246" width="16.42578125" style="12" bestFit="1" customWidth="1"/>
    <col min="247" max="247" width="15.42578125" style="411" bestFit="1" customWidth="1"/>
    <col min="248" max="248" width="16.42578125" style="12" bestFit="1" customWidth="1"/>
    <col min="249" max="249" width="15.85546875" style="12" bestFit="1" customWidth="1"/>
    <col min="250" max="250" width="15.140625" style="12" bestFit="1" customWidth="1"/>
    <col min="251" max="251" width="14.28515625" style="12" bestFit="1" customWidth="1"/>
    <col min="252" max="253" width="14.85546875" style="12" bestFit="1" customWidth="1"/>
    <col min="254" max="255" width="15.140625" style="12" bestFit="1" customWidth="1"/>
    <col min="256" max="256" width="14.85546875" style="12" bestFit="1" customWidth="1"/>
    <col min="257" max="257" width="16.42578125" style="12" bestFit="1" customWidth="1"/>
    <col min="258" max="258" width="21.85546875" style="12" customWidth="1"/>
    <col min="259" max="259" width="25.7109375" style="12" customWidth="1"/>
    <col min="260" max="260" width="19.7109375" style="12" bestFit="1" customWidth="1"/>
    <col min="261" max="261" width="3.28515625" style="12" customWidth="1"/>
    <col min="262" max="262" width="3.28515625" style="13" customWidth="1"/>
    <col min="263" max="263" width="2.28515625" style="12" customWidth="1"/>
    <col min="264" max="264" width="6.140625" style="12" customWidth="1"/>
    <col min="265" max="265" width="9.42578125" style="12" customWidth="1"/>
    <col min="266" max="266" width="8.42578125" style="12" bestFit="1" customWidth="1"/>
    <col min="267" max="267" width="9.42578125" style="12" customWidth="1"/>
    <col min="268" max="269" width="15.85546875" style="12" customWidth="1"/>
    <col min="270" max="270" width="8.28515625" style="12" customWidth="1"/>
    <col min="271" max="271" width="9.42578125" style="12" customWidth="1"/>
    <col min="272" max="272" width="8.42578125" style="12" bestFit="1" customWidth="1"/>
    <col min="273" max="273" width="9.85546875" style="12" customWidth="1"/>
    <col min="274" max="274" width="3.85546875" style="12" customWidth="1"/>
    <col min="275" max="275" width="3.85546875" style="13" customWidth="1"/>
    <col min="276" max="276" width="3.85546875" style="12" customWidth="1"/>
    <col min="277" max="277" width="4.85546875" style="12" customWidth="1"/>
    <col min="278" max="278" width="12" style="12" customWidth="1"/>
    <col min="279" max="279" width="11.5703125" style="12" customWidth="1"/>
    <col min="280" max="282" width="12.5703125" style="12" customWidth="1"/>
    <col min="283" max="284" width="18.140625" style="12" bestFit="1" customWidth="1"/>
    <col min="285" max="285" width="15.85546875" style="12" bestFit="1" customWidth="1"/>
    <col min="286" max="286" width="17.28515625" style="12" bestFit="1" customWidth="1"/>
    <col min="287" max="288" width="15.140625" style="12" bestFit="1" customWidth="1"/>
    <col min="289" max="289" width="16.7109375" style="12" bestFit="1" customWidth="1"/>
    <col min="290" max="290" width="17.85546875" style="12" bestFit="1" customWidth="1"/>
    <col min="291" max="291" width="3.85546875" style="12" customWidth="1"/>
    <col min="292" max="292" width="3.85546875" style="13" customWidth="1"/>
    <col min="293" max="293" width="3.85546875" style="12" customWidth="1"/>
    <col min="294" max="294" width="4.85546875" style="12" customWidth="1"/>
    <col min="295" max="295" width="20.5703125" style="12" customWidth="1"/>
    <col min="296" max="296" width="11" style="12" customWidth="1"/>
    <col min="297" max="297" width="16.7109375" style="12" customWidth="1"/>
    <col min="298" max="298" width="15.85546875" style="12" bestFit="1" customWidth="1"/>
    <col min="299" max="299" width="16.7109375" style="12" bestFit="1" customWidth="1"/>
    <col min="300" max="300" width="14.28515625" style="12" customWidth="1"/>
    <col min="301" max="301" width="14.28515625" style="411" customWidth="1"/>
    <col min="302" max="302" width="14.28515625" style="12" customWidth="1"/>
    <col min="303" max="303" width="16.42578125" style="411" bestFit="1" customWidth="1"/>
    <col min="304" max="304" width="14.28515625" style="411" customWidth="1"/>
    <col min="305" max="305" width="16.42578125" style="12" bestFit="1" customWidth="1"/>
    <col min="306" max="306" width="14.28515625" style="12" customWidth="1"/>
    <col min="307" max="307" width="15.140625" style="12" bestFit="1" customWidth="1"/>
    <col min="308" max="311" width="14.28515625" style="12" customWidth="1"/>
    <col min="312" max="312" width="15.42578125" style="12" bestFit="1" customWidth="1"/>
    <col min="313" max="313" width="16.42578125" style="12" bestFit="1" customWidth="1"/>
    <col min="314" max="314" width="17" style="12" customWidth="1"/>
    <col min="315" max="315" width="16.7109375" style="12" bestFit="1" customWidth="1"/>
    <col min="316" max="316" width="6.5703125" style="12" customWidth="1"/>
    <col min="317" max="317" width="2.28515625" style="13" customWidth="1"/>
    <col min="318" max="319" width="6.5703125" style="12" customWidth="1"/>
    <col min="320" max="320" width="9.42578125" style="12" customWidth="1"/>
    <col min="321" max="321" width="18" style="12" customWidth="1"/>
    <col min="322" max="322" width="17.5703125" style="12" customWidth="1"/>
    <col min="323" max="323" width="17.85546875" style="12" bestFit="1" customWidth="1"/>
    <col min="324" max="324" width="16.7109375" style="12" bestFit="1" customWidth="1"/>
    <col min="325" max="325" width="16.42578125" style="12" bestFit="1" customWidth="1"/>
    <col min="326" max="326" width="16.7109375" style="12" bestFit="1" customWidth="1"/>
    <col min="327" max="328" width="15.140625" style="12" bestFit="1" customWidth="1"/>
    <col min="329" max="329" width="16.7109375" style="12" bestFit="1" customWidth="1"/>
    <col min="330" max="330" width="9.85546875" style="12"/>
    <col min="331" max="331" width="2.7109375" style="13" customWidth="1"/>
    <col min="332" max="332" width="2.7109375" style="12" customWidth="1"/>
    <col min="333" max="333" width="15.85546875" style="12" customWidth="1"/>
    <col min="334" max="334" width="32.28515625" style="12" bestFit="1" customWidth="1"/>
    <col min="335" max="335" width="15.85546875" style="12" customWidth="1"/>
    <col min="336" max="336" width="2.7109375" style="12" customWidth="1"/>
    <col min="337" max="337" width="2.7109375" style="13" customWidth="1"/>
    <col min="338" max="338" width="2.7109375" style="12" customWidth="1"/>
    <col min="339" max="339" width="3.85546875" style="18" customWidth="1"/>
    <col min="340" max="340" width="58.42578125" style="18" customWidth="1"/>
    <col min="341" max="341" width="17.5703125" style="12" bestFit="1" customWidth="1"/>
    <col min="342" max="342" width="19.5703125" style="12" customWidth="1"/>
    <col min="343" max="343" width="16.42578125" style="12" hidden="1" customWidth="1"/>
    <col min="344" max="344" width="20.85546875" style="12" bestFit="1" customWidth="1"/>
    <col min="345" max="345" width="20.7109375" style="12" customWidth="1"/>
    <col min="346" max="346" width="3.85546875" style="12" customWidth="1"/>
    <col min="347" max="347" width="2.7109375" style="13" customWidth="1"/>
    <col min="348" max="348" width="2.7109375" style="12" customWidth="1"/>
    <col min="349" max="349" width="4.42578125" style="12" bestFit="1" customWidth="1"/>
    <col min="350" max="350" width="57.85546875" style="411" bestFit="1" customWidth="1"/>
    <col min="351" max="351" width="24.85546875" style="12" customWidth="1"/>
    <col min="352" max="352" width="25.5703125" style="12" bestFit="1" customWidth="1"/>
    <col min="353" max="353" width="17.5703125" style="12" bestFit="1" customWidth="1"/>
    <col min="354" max="354" width="13.5703125" style="12" customWidth="1"/>
    <col min="355" max="355" width="3.85546875" style="12" customWidth="1"/>
    <col min="356" max="356" width="2.7109375" style="13" customWidth="1"/>
    <col min="357" max="357" width="2.7109375" style="12" customWidth="1"/>
    <col min="358" max="405" width="9.85546875" style="29"/>
    <col min="406" max="16384" width="9.85546875" style="12"/>
  </cols>
  <sheetData>
    <row r="1" spans="1:405" s="5" customFormat="1" ht="16.5" x14ac:dyDescent="0.3">
      <c r="A1" s="1019" t="s">
        <v>0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19"/>
      <c r="P1" s="1019"/>
      <c r="Q1" s="1019"/>
      <c r="R1" s="1019"/>
      <c r="S1" s="2"/>
      <c r="T1" s="3"/>
      <c r="U1" s="2"/>
      <c r="V1" s="2"/>
      <c r="W1" s="1019" t="s">
        <v>1</v>
      </c>
      <c r="X1" s="1019"/>
      <c r="Y1" s="1019"/>
      <c r="Z1" s="1019"/>
      <c r="AA1" s="1019"/>
      <c r="AB1" s="1"/>
      <c r="AC1" s="1"/>
      <c r="AD1" s="3"/>
      <c r="AE1" s="2"/>
      <c r="AF1" s="1019" t="s">
        <v>2</v>
      </c>
      <c r="AG1" s="1019"/>
      <c r="AH1" s="1019"/>
      <c r="AI1" s="1019"/>
      <c r="AJ1" s="1019"/>
      <c r="AK1" s="2"/>
      <c r="AL1" s="3"/>
      <c r="AM1" s="1019" t="s">
        <v>3</v>
      </c>
      <c r="AN1" s="1019"/>
      <c r="AO1" s="1019"/>
      <c r="AP1" s="1019"/>
      <c r="AQ1" s="1019"/>
      <c r="AR1" s="1019"/>
      <c r="AS1" s="1019"/>
      <c r="AT1" s="1019"/>
      <c r="AU1" s="1019"/>
      <c r="AV1" s="1019"/>
      <c r="AW1" s="1019"/>
      <c r="AX1" s="1019"/>
      <c r="AY1" s="1019"/>
      <c r="AZ1" s="1019"/>
      <c r="BA1" s="1019"/>
      <c r="BB1" s="1019"/>
      <c r="BC1" s="1019"/>
      <c r="BD1" s="1019"/>
      <c r="BE1" s="1019"/>
      <c r="BF1" s="1019"/>
      <c r="BG1" s="1019"/>
      <c r="BH1" s="1019"/>
      <c r="BI1" s="1019"/>
      <c r="BJ1" s="1019"/>
      <c r="BK1" s="1019"/>
      <c r="BL1" s="1019"/>
      <c r="BM1" s="1019"/>
      <c r="BN1" s="1019"/>
      <c r="BO1" s="1019"/>
      <c r="BP1" s="1019"/>
      <c r="BQ1" s="1019"/>
      <c r="BR1" s="1019"/>
      <c r="BS1" s="1019"/>
      <c r="BT1" s="1019"/>
      <c r="BU1" s="1019"/>
      <c r="BV1" s="1019"/>
      <c r="BW1" s="1019"/>
      <c r="BX1" s="1019"/>
      <c r="BY1" s="1019"/>
      <c r="BZ1" s="1019"/>
      <c r="CA1" s="1019"/>
      <c r="CB1" s="1019"/>
      <c r="CC1" s="1019"/>
      <c r="CD1" s="1019"/>
      <c r="CE1" s="1019"/>
      <c r="CF1" s="1019"/>
      <c r="CG1" s="1019"/>
      <c r="CH1" s="1019"/>
      <c r="CI1" s="1019"/>
      <c r="CJ1" s="1019"/>
      <c r="CK1" s="2"/>
      <c r="CL1" s="3"/>
      <c r="CM1" s="1019" t="s">
        <v>4</v>
      </c>
      <c r="CN1" s="1019"/>
      <c r="CO1" s="1019"/>
      <c r="CP1" s="1019"/>
      <c r="CQ1" s="1019"/>
      <c r="CR1" s="1019"/>
      <c r="CS1" s="1019"/>
      <c r="CT1" s="1019"/>
      <c r="CU1" s="1019"/>
      <c r="CV1" s="1019"/>
      <c r="CW1" s="1019"/>
      <c r="CX1" s="1019"/>
      <c r="CY1" s="4"/>
      <c r="CZ1" s="1019" t="s">
        <v>5</v>
      </c>
      <c r="DA1" s="1019"/>
      <c r="DB1" s="1019"/>
      <c r="DC1" s="1019"/>
      <c r="DD1" s="1019"/>
      <c r="DE1" s="1019"/>
      <c r="DF1" s="1019"/>
      <c r="DG1" s="1019"/>
      <c r="DH1" s="1019"/>
      <c r="DI1" s="4"/>
      <c r="DJ1" s="1019" t="s">
        <v>6</v>
      </c>
      <c r="DK1" s="1019"/>
      <c r="DL1" s="1019"/>
      <c r="DM1" s="1019"/>
      <c r="DN1" s="1019"/>
      <c r="DO1" s="1019"/>
      <c r="DP1" s="1019"/>
      <c r="DQ1" s="1019"/>
      <c r="DR1" s="3"/>
      <c r="DS1" s="1019" t="s">
        <v>7</v>
      </c>
      <c r="DT1" s="1019"/>
      <c r="DU1" s="1019"/>
      <c r="DV1" s="1019"/>
      <c r="DW1" s="1019"/>
      <c r="DX1" s="1019"/>
      <c r="DY1" s="1019"/>
      <c r="DZ1" s="1019"/>
      <c r="EA1" s="1019"/>
      <c r="EB1" s="1019"/>
      <c r="EC1" s="1019"/>
      <c r="ED1" s="1019"/>
      <c r="EE1" s="4"/>
      <c r="EG1" s="1019" t="s">
        <v>8</v>
      </c>
      <c r="EH1" s="1019"/>
      <c r="EI1" s="1019"/>
      <c r="EJ1" s="1019"/>
      <c r="EK1" s="1019"/>
      <c r="EL1" s="1019"/>
      <c r="EM1" s="1019"/>
      <c r="EN1" s="1019"/>
      <c r="EO1" s="1019"/>
      <c r="EP1" s="1019"/>
      <c r="EQ1" s="2"/>
      <c r="ER1" s="4"/>
      <c r="ES1" s="2"/>
      <c r="ET1" s="1019" t="s">
        <v>9</v>
      </c>
      <c r="EU1" s="1019"/>
      <c r="EV1" s="1019"/>
      <c r="EW1" s="1019"/>
      <c r="EX1" s="1019"/>
      <c r="EY1" s="1019"/>
      <c r="EZ1" s="1019"/>
      <c r="FA1" s="1019"/>
      <c r="FB1" s="1019"/>
      <c r="FC1" s="1019"/>
      <c r="FD1" s="1019"/>
      <c r="FE1" s="1019"/>
      <c r="FF1" s="1019"/>
      <c r="FG1" s="2"/>
      <c r="FH1" s="4"/>
      <c r="FI1" s="1019" t="s">
        <v>10</v>
      </c>
      <c r="FJ1" s="1019"/>
      <c r="FK1" s="1019"/>
      <c r="FL1" s="1019"/>
      <c r="FM1" s="1019"/>
      <c r="FN1" s="1019"/>
      <c r="FO1" s="1019"/>
      <c r="FP1" s="1019"/>
      <c r="FQ1" s="1019"/>
      <c r="FR1" s="1019"/>
      <c r="FS1" s="1019"/>
      <c r="FT1" s="1019"/>
      <c r="FU1" s="1019"/>
      <c r="FV1" s="1019"/>
      <c r="FW1" s="4"/>
      <c r="FX1" s="1019" t="s">
        <v>11</v>
      </c>
      <c r="FY1" s="1019"/>
      <c r="FZ1" s="1019"/>
      <c r="GA1" s="1019"/>
      <c r="GB1" s="1019"/>
      <c r="GC1" s="1019"/>
      <c r="GD1" s="1019"/>
      <c r="GE1" s="1019"/>
      <c r="GF1" s="1019"/>
      <c r="GG1" s="1019"/>
      <c r="GH1" s="1019"/>
      <c r="GI1" s="1019"/>
      <c r="GJ1" s="3"/>
      <c r="GK1" s="1019" t="s">
        <v>12</v>
      </c>
      <c r="GL1" s="1019"/>
      <c r="GM1" s="1019"/>
      <c r="GN1" s="1019"/>
      <c r="GO1" s="1019"/>
      <c r="GP1" s="1019"/>
      <c r="GQ1" s="1019"/>
      <c r="GR1" s="1019"/>
      <c r="GS1" s="1019"/>
      <c r="GT1" s="1019"/>
      <c r="GU1" s="1019"/>
      <c r="GV1" s="1019"/>
      <c r="GW1" s="4"/>
      <c r="GY1" s="1020" t="s">
        <v>13</v>
      </c>
      <c r="GZ1" s="1020"/>
      <c r="HA1" s="1020"/>
      <c r="HB1" s="1020"/>
      <c r="HC1" s="1020"/>
      <c r="HD1" s="1020"/>
      <c r="HE1" s="1020"/>
      <c r="HF1" s="1020"/>
      <c r="HG1" s="1020"/>
      <c r="HH1" s="1020"/>
      <c r="HI1" s="1020"/>
      <c r="HJ1" s="1020"/>
      <c r="HL1" s="3"/>
      <c r="HM1" s="2"/>
      <c r="HN1" s="1021" t="s">
        <v>14</v>
      </c>
      <c r="HO1" s="1021"/>
      <c r="HP1" s="1021"/>
      <c r="HQ1" s="1021"/>
      <c r="HR1" s="1021"/>
      <c r="HS1" s="1021"/>
      <c r="HT1" s="1021"/>
      <c r="HU1" s="1021"/>
      <c r="HV1" s="1021"/>
      <c r="HW1" s="1021"/>
      <c r="HX1" s="1021"/>
      <c r="HY1" s="1021"/>
      <c r="HZ1" s="1021"/>
      <c r="IA1" s="2"/>
      <c r="IB1" s="3"/>
      <c r="IC1" s="2"/>
      <c r="ID1" s="1021" t="s">
        <v>15</v>
      </c>
      <c r="IE1" s="1021"/>
      <c r="IF1" s="1021"/>
      <c r="IG1" s="1021"/>
      <c r="IH1" s="1021"/>
      <c r="II1" s="1021"/>
      <c r="IJ1" s="1021"/>
      <c r="IK1" s="1021"/>
      <c r="IL1" s="1021"/>
      <c r="IM1" s="1021"/>
      <c r="IN1" s="1021"/>
      <c r="IO1" s="1021"/>
      <c r="IP1" s="1021"/>
      <c r="IQ1" s="1021"/>
      <c r="IR1" s="1021"/>
      <c r="IS1" s="1021"/>
      <c r="IT1" s="1021"/>
      <c r="IU1" s="1021"/>
      <c r="IV1" s="1021"/>
      <c r="IW1" s="1021"/>
      <c r="IX1" s="1021"/>
      <c r="IY1" s="1021"/>
      <c r="IZ1" s="1021"/>
      <c r="JA1" s="1"/>
      <c r="JB1" s="4"/>
      <c r="JC1" s="2"/>
      <c r="JD1" s="1021" t="s">
        <v>16</v>
      </c>
      <c r="JE1" s="1021"/>
      <c r="JF1" s="1021"/>
      <c r="JG1" s="1021"/>
      <c r="JH1" s="1021"/>
      <c r="JI1" s="1021"/>
      <c r="JJ1" s="1021"/>
      <c r="JK1" s="1021"/>
      <c r="JL1" s="1021"/>
      <c r="JM1" s="1021"/>
      <c r="JO1" s="3"/>
      <c r="JQ1" s="1021" t="s">
        <v>17</v>
      </c>
      <c r="JR1" s="1021"/>
      <c r="JS1" s="1021"/>
      <c r="JT1" s="1021"/>
      <c r="JU1" s="1021"/>
      <c r="JV1" s="1021"/>
      <c r="JW1" s="1021"/>
      <c r="JX1" s="1021"/>
      <c r="JY1" s="1021"/>
      <c r="JZ1" s="1021"/>
      <c r="KA1" s="1021"/>
      <c r="KB1" s="1021"/>
      <c r="KC1" s="1021"/>
      <c r="KD1" s="1021"/>
      <c r="KE1" s="2"/>
      <c r="KF1" s="3"/>
      <c r="KG1" s="2"/>
      <c r="KH1" s="1025" t="s">
        <v>18</v>
      </c>
      <c r="KI1" s="1025"/>
      <c r="KJ1" s="1025"/>
      <c r="KK1" s="1025"/>
      <c r="KL1" s="1025"/>
      <c r="KM1" s="1025"/>
      <c r="KN1" s="1025"/>
      <c r="KO1" s="1025"/>
      <c r="KP1" s="1025"/>
      <c r="KQ1" s="1025"/>
      <c r="KR1" s="1025"/>
      <c r="KS1" s="1025"/>
      <c r="KT1" s="1025"/>
      <c r="KU1" s="1025"/>
      <c r="KV1" s="1025"/>
      <c r="KW1" s="1025"/>
      <c r="KX1" s="1025"/>
      <c r="KY1" s="1025"/>
      <c r="KZ1" s="1025"/>
      <c r="LA1" s="1025"/>
      <c r="LB1" s="1025"/>
      <c r="LC1" s="1025"/>
      <c r="LD1" s="1"/>
      <c r="LE1" s="4"/>
      <c r="LG1" s="1021" t="s">
        <v>19</v>
      </c>
      <c r="LH1" s="1021"/>
      <c r="LI1" s="1021"/>
      <c r="LJ1" s="1021"/>
      <c r="LK1" s="1021"/>
      <c r="LL1" s="1021"/>
      <c r="LM1" s="1021"/>
      <c r="LN1" s="1021"/>
      <c r="LO1" s="1021"/>
      <c r="LP1" s="1021"/>
      <c r="LQ1" s="1021"/>
      <c r="LR1" s="2"/>
      <c r="LS1" s="3"/>
      <c r="LT1" s="2"/>
      <c r="LU1" s="1021" t="s">
        <v>20</v>
      </c>
      <c r="LV1" s="1021"/>
      <c r="LW1" s="1021"/>
      <c r="LX1" s="2"/>
      <c r="LY1" s="3"/>
      <c r="LZ1" s="2"/>
      <c r="MA1" s="1014" t="s">
        <v>21</v>
      </c>
      <c r="MB1" s="1014"/>
      <c r="MC1" s="1014"/>
      <c r="MD1" s="1014"/>
      <c r="ME1" s="1014"/>
      <c r="MF1" s="1014"/>
      <c r="MG1" s="1014"/>
      <c r="MH1" s="2"/>
      <c r="MI1" s="3"/>
      <c r="MJ1" s="2"/>
      <c r="MK1" s="1015" t="s">
        <v>22</v>
      </c>
      <c r="ML1" s="1015"/>
      <c r="MM1" s="1015"/>
      <c r="MN1" s="1015"/>
      <c r="MO1" s="1015"/>
      <c r="MP1" s="1015"/>
      <c r="MQ1" s="2"/>
      <c r="MR1" s="3"/>
      <c r="MS1" s="2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</row>
    <row r="2" spans="1:405" ht="16.5" x14ac:dyDescent="0.3">
      <c r="A2" s="8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"/>
      <c r="AK2" s="11"/>
      <c r="AM2" s="14"/>
      <c r="AO2" s="14"/>
      <c r="AP2" s="14"/>
      <c r="AQ2" s="14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5"/>
      <c r="EQ2" s="19"/>
      <c r="ER2" s="20"/>
      <c r="FG2" s="19"/>
      <c r="FH2" s="20"/>
      <c r="FV2" s="14"/>
      <c r="GI2" s="14"/>
      <c r="GJ2" s="21"/>
      <c r="GY2" s="1020"/>
      <c r="GZ2" s="1020"/>
      <c r="HA2" s="1020"/>
      <c r="HB2" s="1020"/>
      <c r="HC2" s="1020"/>
      <c r="HD2" s="1020"/>
      <c r="HE2" s="1020"/>
      <c r="HF2" s="1020"/>
      <c r="HG2" s="1020"/>
      <c r="HH2" s="1020"/>
      <c r="HI2" s="1020"/>
      <c r="HJ2" s="1020"/>
      <c r="HK2" s="14"/>
      <c r="HN2" s="1021"/>
      <c r="HO2" s="1021"/>
      <c r="HP2" s="1021"/>
      <c r="HQ2" s="1021"/>
      <c r="HR2" s="1021"/>
      <c r="HS2" s="1021"/>
      <c r="HT2" s="1021"/>
      <c r="HU2" s="1021"/>
      <c r="HV2" s="1021"/>
      <c r="HW2" s="1021"/>
      <c r="HX2" s="1021"/>
      <c r="HY2" s="1021"/>
      <c r="HZ2" s="1021"/>
      <c r="ID2" s="1021"/>
      <c r="IE2" s="1021"/>
      <c r="IF2" s="1021"/>
      <c r="IG2" s="1021"/>
      <c r="IH2" s="1021"/>
      <c r="II2" s="1021"/>
      <c r="IJ2" s="1021"/>
      <c r="IK2" s="1021"/>
      <c r="IL2" s="1021"/>
      <c r="IM2" s="1021"/>
      <c r="IN2" s="1021"/>
      <c r="IO2" s="1021"/>
      <c r="IP2" s="1021"/>
      <c r="IQ2" s="1021"/>
      <c r="IR2" s="1021"/>
      <c r="IS2" s="1021"/>
      <c r="IT2" s="1021"/>
      <c r="IU2" s="1021"/>
      <c r="IV2" s="1021"/>
      <c r="IW2" s="1021"/>
      <c r="IX2" s="1021"/>
      <c r="IY2" s="1021"/>
      <c r="IZ2" s="1021"/>
      <c r="JC2" s="22"/>
      <c r="JD2" s="1022"/>
      <c r="JE2" s="1022"/>
      <c r="JF2" s="1022"/>
      <c r="JG2" s="1022"/>
      <c r="JH2" s="1022"/>
      <c r="JI2" s="1022"/>
      <c r="JJ2" s="1022"/>
      <c r="JK2" s="1022"/>
      <c r="JL2" s="1022"/>
      <c r="JM2" s="1022"/>
      <c r="JO2" s="23"/>
      <c r="JQ2" s="1021"/>
      <c r="JR2" s="1021"/>
      <c r="JS2" s="1021"/>
      <c r="JT2" s="1021"/>
      <c r="JU2" s="1021"/>
      <c r="JV2" s="1021"/>
      <c r="JW2" s="1021"/>
      <c r="JX2" s="1021"/>
      <c r="JY2" s="1021"/>
      <c r="JZ2" s="1021"/>
      <c r="KA2" s="1021"/>
      <c r="KB2" s="1021"/>
      <c r="KC2" s="1021"/>
      <c r="KD2" s="1021"/>
      <c r="KE2" s="24"/>
      <c r="KF2" s="25"/>
      <c r="KG2" s="24"/>
      <c r="KH2" s="1025"/>
      <c r="KI2" s="1025"/>
      <c r="KJ2" s="1025"/>
      <c r="KK2" s="1025"/>
      <c r="KL2" s="1025"/>
      <c r="KM2" s="1025"/>
      <c r="KN2" s="1025"/>
      <c r="KO2" s="1025"/>
      <c r="KP2" s="1025"/>
      <c r="KQ2" s="1025"/>
      <c r="KR2" s="1025"/>
      <c r="KS2" s="1025"/>
      <c r="KT2" s="1025"/>
      <c r="KU2" s="1025"/>
      <c r="KV2" s="1025"/>
      <c r="KW2" s="1025"/>
      <c r="KX2" s="1025"/>
      <c r="KY2" s="1025"/>
      <c r="KZ2" s="1025"/>
      <c r="LA2" s="1025"/>
      <c r="LB2" s="1025"/>
      <c r="LC2" s="1025"/>
      <c r="LD2" s="26"/>
      <c r="LE2" s="27"/>
      <c r="LG2" s="1021"/>
      <c r="LH2" s="1021"/>
      <c r="LI2" s="1021"/>
      <c r="LJ2" s="1021"/>
      <c r="LK2" s="1021"/>
      <c r="LL2" s="1021"/>
      <c r="LM2" s="1021"/>
      <c r="LN2" s="1021"/>
      <c r="LO2" s="1021"/>
      <c r="LP2" s="1021"/>
      <c r="LQ2" s="1021"/>
      <c r="LS2" s="28"/>
      <c r="LT2" s="15"/>
      <c r="LU2" s="1021"/>
      <c r="LV2" s="1021"/>
      <c r="LW2" s="1021"/>
      <c r="LX2" s="2"/>
      <c r="LY2" s="3"/>
      <c r="LZ2" s="2"/>
      <c r="MA2" s="1014"/>
      <c r="MB2" s="1014"/>
      <c r="MC2" s="1014"/>
      <c r="MD2" s="1014"/>
      <c r="ME2" s="1014"/>
      <c r="MF2" s="1014"/>
      <c r="MG2" s="1014"/>
      <c r="MI2" s="28"/>
      <c r="MJ2" s="15"/>
      <c r="MK2" s="1015"/>
      <c r="ML2" s="1015"/>
      <c r="MM2" s="1015"/>
      <c r="MN2" s="1015"/>
      <c r="MO2" s="1015"/>
      <c r="MP2" s="1015"/>
      <c r="MR2" s="28"/>
      <c r="MS2" s="15"/>
    </row>
    <row r="3" spans="1:405" ht="18" customHeight="1" x14ac:dyDescent="0.3">
      <c r="A3" s="8"/>
      <c r="B3" s="633"/>
      <c r="C3" s="633"/>
      <c r="D3" s="633"/>
      <c r="E3" s="633"/>
      <c r="F3" s="1016" t="s">
        <v>23</v>
      </c>
      <c r="G3" s="1017"/>
      <c r="H3" s="1016" t="s">
        <v>24</v>
      </c>
      <c r="I3" s="1018"/>
      <c r="J3" s="1017"/>
      <c r="K3" s="1016" t="s">
        <v>25</v>
      </c>
      <c r="L3" s="1018"/>
      <c r="M3" s="1017"/>
      <c r="N3" s="1016" t="s">
        <v>26</v>
      </c>
      <c r="O3" s="1018"/>
      <c r="P3" s="1017"/>
      <c r="Q3" s="1016" t="s">
        <v>27</v>
      </c>
      <c r="R3" s="1018"/>
      <c r="S3" s="30"/>
      <c r="T3" s="31"/>
      <c r="U3" s="32"/>
      <c r="V3" s="634"/>
      <c r="W3" s="634"/>
      <c r="X3" s="634"/>
      <c r="Y3" s="634"/>
      <c r="Z3" s="634"/>
      <c r="AA3" s="634"/>
      <c r="AF3" s="634"/>
      <c r="AG3" s="634"/>
      <c r="AH3" s="634"/>
      <c r="AI3" s="634"/>
      <c r="AJ3" s="634"/>
      <c r="AK3" s="34"/>
      <c r="AN3" s="635"/>
      <c r="AO3" s="636"/>
      <c r="AP3" s="637"/>
      <c r="AQ3" s="636"/>
      <c r="AR3" s="638"/>
      <c r="AS3" s="1023" t="s">
        <v>28</v>
      </c>
      <c r="AT3" s="1024"/>
      <c r="AU3" s="636"/>
      <c r="AV3" s="1023" t="s">
        <v>29</v>
      </c>
      <c r="AW3" s="1024"/>
      <c r="AX3" s="1024"/>
      <c r="AY3" s="636"/>
      <c r="AZ3" s="1023" t="s">
        <v>30</v>
      </c>
      <c r="BA3" s="1024"/>
      <c r="BB3" s="1024"/>
      <c r="BC3" s="636"/>
      <c r="BD3" s="1023" t="s">
        <v>31</v>
      </c>
      <c r="BE3" s="1024"/>
      <c r="BF3" s="1024"/>
      <c r="BG3" s="636"/>
      <c r="BH3" s="1023" t="s">
        <v>32</v>
      </c>
      <c r="BI3" s="1024"/>
      <c r="BJ3" s="1024"/>
      <c r="BK3" s="636"/>
      <c r="BL3" s="1023" t="s">
        <v>33</v>
      </c>
      <c r="BM3" s="1024"/>
      <c r="BN3" s="1024"/>
      <c r="BO3" s="636"/>
      <c r="BP3" s="1023" t="s">
        <v>34</v>
      </c>
      <c r="BQ3" s="1024"/>
      <c r="BR3" s="1024"/>
      <c r="BS3" s="636"/>
      <c r="BT3" s="1023" t="s">
        <v>35</v>
      </c>
      <c r="BU3" s="1024"/>
      <c r="BV3" s="1024"/>
      <c r="BW3" s="1024" t="s">
        <v>36</v>
      </c>
      <c r="BX3" s="1024"/>
      <c r="BY3" s="1024"/>
      <c r="BZ3" s="1023" t="s">
        <v>37</v>
      </c>
      <c r="CA3" s="1024"/>
      <c r="CB3" s="1031"/>
      <c r="CC3" s="1023" t="s">
        <v>38</v>
      </c>
      <c r="CD3" s="1024"/>
      <c r="CE3" s="1031"/>
      <c r="CF3" s="1023" t="s">
        <v>23</v>
      </c>
      <c r="CG3" s="1024"/>
      <c r="CH3" s="1031"/>
      <c r="CI3" s="1026" t="s">
        <v>39</v>
      </c>
      <c r="CJ3" s="1027"/>
      <c r="CN3" s="639"/>
      <c r="CO3" s="640"/>
      <c r="CP3" s="1028" t="str">
        <f>F3</f>
        <v>2023 Fiscal Year As Accepted</v>
      </c>
      <c r="CQ3" s="1029"/>
      <c r="CR3" s="1029"/>
      <c r="CS3" s="1030"/>
      <c r="CT3" s="1028" t="str">
        <f>H3</f>
        <v>2023 Fiscal Year As Adjusted</v>
      </c>
      <c r="CU3" s="1029"/>
      <c r="CV3" s="1029"/>
      <c r="CW3" s="1030"/>
      <c r="CX3" s="11"/>
      <c r="DA3" s="636"/>
      <c r="DB3" s="641"/>
      <c r="DC3" s="1028" t="str">
        <f>CP3</f>
        <v>2023 Fiscal Year As Accepted</v>
      </c>
      <c r="DD3" s="1030"/>
      <c r="DE3" s="1028" t="str">
        <f>CT3</f>
        <v>2023 Fiscal Year As Adjusted</v>
      </c>
      <c r="DF3" s="1029"/>
      <c r="DG3" s="1030"/>
      <c r="DK3" s="642"/>
      <c r="DL3" s="643"/>
      <c r="DM3" s="1028" t="str">
        <f>DC3</f>
        <v>2023 Fiscal Year As Accepted</v>
      </c>
      <c r="DN3" s="1030"/>
      <c r="DO3" s="1028" t="str">
        <f>DE3</f>
        <v>2023 Fiscal Year As Adjusted</v>
      </c>
      <c r="DP3" s="1030"/>
      <c r="DT3" s="636"/>
      <c r="DU3" s="644"/>
      <c r="DV3" s="1024" t="str">
        <f>DC3</f>
        <v>2023 Fiscal Year As Accepted</v>
      </c>
      <c r="DW3" s="1024"/>
      <c r="DX3" s="1024"/>
      <c r="DY3" s="1024"/>
      <c r="DZ3" s="1023" t="str">
        <f>DE3</f>
        <v>2023 Fiscal Year As Adjusted</v>
      </c>
      <c r="EA3" s="1024"/>
      <c r="EB3" s="1024"/>
      <c r="EC3" s="1031"/>
      <c r="EE3" s="39"/>
      <c r="EG3" s="36"/>
      <c r="EH3" s="36"/>
      <c r="EI3" s="1038" t="str">
        <f>DV3</f>
        <v>2023 Fiscal Year As Accepted</v>
      </c>
      <c r="EJ3" s="1032"/>
      <c r="EK3" s="1032"/>
      <c r="EL3" s="1033"/>
      <c r="EM3" s="1038" t="str">
        <f>DZ3</f>
        <v>2023 Fiscal Year As Adjusted</v>
      </c>
      <c r="EN3" s="1032"/>
      <c r="EO3" s="1032"/>
      <c r="EP3" s="1033"/>
      <c r="EQ3" s="11"/>
      <c r="ER3" s="40"/>
      <c r="ET3" s="36"/>
      <c r="EU3" s="37"/>
      <c r="EV3" s="1032" t="str">
        <f>EI3</f>
        <v>2023 Fiscal Year As Accepted</v>
      </c>
      <c r="EW3" s="1032"/>
      <c r="EX3" s="1032"/>
      <c r="EY3" s="1033"/>
      <c r="EZ3" s="1032" t="str">
        <f>EM3</f>
        <v>2023 Fiscal Year As Adjusted</v>
      </c>
      <c r="FA3" s="1032"/>
      <c r="FB3" s="1032"/>
      <c r="FC3" s="1033"/>
      <c r="FD3" s="1032" t="s">
        <v>40</v>
      </c>
      <c r="FE3" s="1032"/>
      <c r="FF3" s="1033"/>
      <c r="FG3" s="11"/>
      <c r="FH3" s="40"/>
      <c r="FJ3" s="36"/>
      <c r="FK3" s="36"/>
      <c r="FL3" s="36"/>
      <c r="FM3" s="1034" t="str">
        <f>EI3</f>
        <v>2023 Fiscal Year As Accepted</v>
      </c>
      <c r="FN3" s="1035"/>
      <c r="FO3" s="1035"/>
      <c r="FP3" s="1036"/>
      <c r="FQ3" s="1034" t="str">
        <f>EM3</f>
        <v>2023 Fiscal Year As Adjusted</v>
      </c>
      <c r="FR3" s="1035"/>
      <c r="FS3" s="1035"/>
      <c r="FT3" s="1035"/>
      <c r="FU3" s="1036"/>
      <c r="FV3" s="14"/>
      <c r="FW3" s="21"/>
      <c r="FY3" s="35"/>
      <c r="FZ3" s="36"/>
      <c r="GA3" s="1034" t="str">
        <f>FM3</f>
        <v>2023 Fiscal Year As Accepted</v>
      </c>
      <c r="GB3" s="1035"/>
      <c r="GC3" s="1035"/>
      <c r="GD3" s="1036"/>
      <c r="GE3" s="1037" t="str">
        <f>FQ3</f>
        <v>2023 Fiscal Year As Adjusted</v>
      </c>
      <c r="GF3" s="1035"/>
      <c r="GG3" s="1035"/>
      <c r="GH3" s="1036"/>
      <c r="GI3" s="11"/>
      <c r="GJ3" s="42"/>
      <c r="GL3" s="36"/>
      <c r="GM3" s="36"/>
      <c r="GN3" s="1043" t="str">
        <f>GA3</f>
        <v>2023 Fiscal Year As Accepted</v>
      </c>
      <c r="GO3" s="1044"/>
      <c r="GP3" s="1044"/>
      <c r="GQ3" s="1045"/>
      <c r="GR3" s="1043" t="str">
        <f>GE3</f>
        <v>2023 Fiscal Year As Adjusted</v>
      </c>
      <c r="GS3" s="1044"/>
      <c r="GT3" s="1044"/>
      <c r="GU3" s="1045"/>
      <c r="GY3" s="11"/>
      <c r="GZ3" s="43"/>
      <c r="HA3" s="44"/>
      <c r="HB3" s="44"/>
      <c r="HC3" s="44"/>
      <c r="HD3" s="44"/>
      <c r="HE3" s="44"/>
      <c r="HF3" s="45"/>
      <c r="HG3" s="44"/>
      <c r="HH3" s="44"/>
      <c r="HI3" s="44"/>
      <c r="HJ3" s="44"/>
      <c r="HK3" s="46"/>
      <c r="HM3" s="46"/>
      <c r="HN3" s="41"/>
      <c r="HO3" s="47"/>
      <c r="HP3" s="47"/>
      <c r="HQ3" s="1039" t="s">
        <v>41</v>
      </c>
      <c r="HR3" s="1046"/>
      <c r="HS3" s="1039" t="s">
        <v>42</v>
      </c>
      <c r="HT3" s="1046"/>
      <c r="HU3" s="1039" t="s">
        <v>43</v>
      </c>
      <c r="HV3" s="1046"/>
      <c r="HW3" s="1039" t="s">
        <v>44</v>
      </c>
      <c r="HX3" s="1046"/>
      <c r="HY3" s="1039" t="s">
        <v>45</v>
      </c>
      <c r="HZ3" s="1040"/>
      <c r="IA3" s="24"/>
      <c r="IB3" s="25"/>
      <c r="IC3" s="24"/>
      <c r="ID3" s="36"/>
      <c r="IE3" s="48"/>
      <c r="IF3" s="48"/>
      <c r="IG3" s="48"/>
      <c r="IH3" s="1041" t="s">
        <v>46</v>
      </c>
      <c r="II3" s="1042"/>
      <c r="IJ3" s="1041" t="s">
        <v>47</v>
      </c>
      <c r="IK3" s="1042"/>
      <c r="IL3" s="1041" t="s">
        <v>48</v>
      </c>
      <c r="IM3" s="1042"/>
      <c r="IN3" s="1041" t="s">
        <v>49</v>
      </c>
      <c r="IO3" s="1042"/>
      <c r="IP3" s="1041" t="s">
        <v>50</v>
      </c>
      <c r="IQ3" s="1042"/>
      <c r="IR3" s="1041" t="s">
        <v>51</v>
      </c>
      <c r="IS3" s="1042"/>
      <c r="IT3" s="1041" t="s">
        <v>52</v>
      </c>
      <c r="IU3" s="1042"/>
      <c r="IV3" s="1041" t="s">
        <v>53</v>
      </c>
      <c r="IW3" s="1042"/>
      <c r="IX3" s="1041" t="s">
        <v>54</v>
      </c>
      <c r="IY3" s="1049"/>
      <c r="IZ3" s="1049"/>
      <c r="JA3" s="46"/>
      <c r="JB3" s="49"/>
      <c r="JC3" s="22"/>
      <c r="JD3" s="50"/>
      <c r="JE3" s="51"/>
      <c r="JF3" s="51"/>
      <c r="JG3" s="51"/>
      <c r="JH3" s="51"/>
      <c r="JI3" s="51"/>
      <c r="JJ3" s="51"/>
      <c r="JK3" s="51"/>
      <c r="JL3" s="51"/>
      <c r="JM3" s="51"/>
      <c r="JN3" s="24"/>
      <c r="JO3" s="25"/>
      <c r="JP3" s="52"/>
      <c r="JQ3" s="53"/>
      <c r="JR3" s="47"/>
      <c r="JS3" s="47"/>
      <c r="JT3" s="54"/>
      <c r="JU3" s="1039" t="s">
        <v>41</v>
      </c>
      <c r="JV3" s="1046"/>
      <c r="JW3" s="1039" t="s">
        <v>42</v>
      </c>
      <c r="JX3" s="1046"/>
      <c r="JY3" s="1039" t="s">
        <v>55</v>
      </c>
      <c r="JZ3" s="1046"/>
      <c r="KA3" s="1039" t="s">
        <v>56</v>
      </c>
      <c r="KB3" s="1046"/>
      <c r="KC3" s="1039" t="s">
        <v>45</v>
      </c>
      <c r="KD3" s="1040"/>
      <c r="KE3" s="52"/>
      <c r="KF3" s="55"/>
      <c r="KG3" s="52"/>
      <c r="KH3" s="56"/>
      <c r="KI3" s="47"/>
      <c r="KJ3" s="47"/>
      <c r="KK3" s="47"/>
      <c r="KL3" s="1039" t="s">
        <v>46</v>
      </c>
      <c r="KM3" s="1046"/>
      <c r="KN3" s="1039" t="s">
        <v>57</v>
      </c>
      <c r="KO3" s="1046"/>
      <c r="KP3" s="1039" t="s">
        <v>48</v>
      </c>
      <c r="KQ3" s="1046"/>
      <c r="KR3" s="1039" t="s">
        <v>49</v>
      </c>
      <c r="KS3" s="1046"/>
      <c r="KT3" s="1039" t="s">
        <v>50</v>
      </c>
      <c r="KU3" s="1046"/>
      <c r="KV3" s="1039" t="s">
        <v>51</v>
      </c>
      <c r="KW3" s="1046"/>
      <c r="KX3" s="1039" t="s">
        <v>52</v>
      </c>
      <c r="KY3" s="1046"/>
      <c r="KZ3" s="1039" t="s">
        <v>53</v>
      </c>
      <c r="LA3" s="1046"/>
      <c r="LB3" s="1039" t="s">
        <v>58</v>
      </c>
      <c r="LC3" s="1040"/>
      <c r="LD3" s="22"/>
      <c r="LE3" s="57"/>
      <c r="LG3" s="36"/>
      <c r="LH3" s="38"/>
      <c r="LI3" s="1039" t="s">
        <v>45</v>
      </c>
      <c r="LJ3" s="1040"/>
      <c r="LK3" s="1046"/>
      <c r="LL3" s="1039" t="s">
        <v>59</v>
      </c>
      <c r="LM3" s="1040"/>
      <c r="LN3" s="1046"/>
      <c r="LO3" s="1039" t="s">
        <v>60</v>
      </c>
      <c r="LP3" s="1040"/>
      <c r="LQ3" s="1046"/>
      <c r="LS3" s="21"/>
      <c r="LT3" s="14"/>
      <c r="LU3" s="58"/>
      <c r="LV3" s="58"/>
      <c r="LW3" s="58"/>
      <c r="LX3" s="14"/>
      <c r="LY3" s="21"/>
      <c r="LZ3" s="14"/>
      <c r="MA3" s="59"/>
      <c r="MB3" s="59"/>
      <c r="MC3" s="33"/>
      <c r="MD3" s="33"/>
      <c r="ME3" s="33"/>
      <c r="MF3" s="33"/>
      <c r="MG3" s="33"/>
      <c r="MI3" s="21"/>
      <c r="MJ3" s="14"/>
      <c r="MK3" s="59"/>
      <c r="ML3" s="33"/>
      <c r="MM3" s="33"/>
      <c r="MN3" s="33"/>
      <c r="MO3" s="33"/>
      <c r="MP3" s="33"/>
      <c r="MR3" s="21"/>
      <c r="MS3" s="14"/>
    </row>
    <row r="4" spans="1:405" s="68" customFormat="1" ht="53.1" customHeight="1" x14ac:dyDescent="0.25">
      <c r="A4" s="60"/>
      <c r="B4" s="61"/>
      <c r="C4" s="62"/>
      <c r="D4" s="62"/>
      <c r="E4" s="62"/>
      <c r="F4" s="63" t="s">
        <v>61</v>
      </c>
      <c r="G4" s="64" t="s">
        <v>62</v>
      </c>
      <c r="H4" s="63" t="s">
        <v>61</v>
      </c>
      <c r="I4" s="65" t="s">
        <v>62</v>
      </c>
      <c r="J4" s="64" t="s">
        <v>63</v>
      </c>
      <c r="K4" s="63" t="s">
        <v>61</v>
      </c>
      <c r="L4" s="65" t="s">
        <v>62</v>
      </c>
      <c r="M4" s="64" t="s">
        <v>64</v>
      </c>
      <c r="N4" s="63" t="s">
        <v>61</v>
      </c>
      <c r="O4" s="65" t="s">
        <v>62</v>
      </c>
      <c r="P4" s="64" t="s">
        <v>65</v>
      </c>
      <c r="Q4" s="66" t="s">
        <v>66</v>
      </c>
      <c r="R4" s="65" t="s">
        <v>67</v>
      </c>
      <c r="S4" s="46"/>
      <c r="T4" s="67"/>
      <c r="V4" s="69"/>
      <c r="W4" s="69"/>
      <c r="X4" s="70" t="s">
        <v>68</v>
      </c>
      <c r="Y4" s="70" t="s">
        <v>69</v>
      </c>
      <c r="Z4" s="70" t="s">
        <v>70</v>
      </c>
      <c r="AA4" s="70" t="s">
        <v>71</v>
      </c>
      <c r="AB4" s="71"/>
      <c r="AC4" s="60"/>
      <c r="AD4" s="72"/>
      <c r="AE4" s="60"/>
      <c r="AF4" s="62"/>
      <c r="AG4" s="62"/>
      <c r="AH4" s="61" t="str">
        <f>D14</f>
        <v>Direct Labour</v>
      </c>
      <c r="AI4" s="61" t="str">
        <f>D15</f>
        <v>Collector Labour</v>
      </c>
      <c r="AJ4" s="61" t="str">
        <f>D16</f>
        <v>Overhead Labour</v>
      </c>
      <c r="AL4" s="67"/>
      <c r="AM4" s="60"/>
      <c r="AN4" s="70"/>
      <c r="AO4" s="73"/>
      <c r="AP4" s="73"/>
      <c r="AQ4" s="73"/>
      <c r="AR4" s="73"/>
      <c r="AS4" s="74" t="s">
        <v>61</v>
      </c>
      <c r="AT4" s="75" t="s">
        <v>72</v>
      </c>
      <c r="AU4" s="70"/>
      <c r="AV4" s="74" t="s">
        <v>61</v>
      </c>
      <c r="AW4" s="75" t="s">
        <v>72</v>
      </c>
      <c r="AX4" s="75" t="s">
        <v>73</v>
      </c>
      <c r="AY4" s="70"/>
      <c r="AZ4" s="74" t="s">
        <v>61</v>
      </c>
      <c r="BA4" s="75" t="s">
        <v>72</v>
      </c>
      <c r="BB4" s="75" t="s">
        <v>73</v>
      </c>
      <c r="BC4" s="70"/>
      <c r="BD4" s="74" t="s">
        <v>61</v>
      </c>
      <c r="BE4" s="75" t="s">
        <v>72</v>
      </c>
      <c r="BF4" s="75" t="s">
        <v>73</v>
      </c>
      <c r="BG4" s="70"/>
      <c r="BH4" s="74" t="s">
        <v>61</v>
      </c>
      <c r="BI4" s="75" t="s">
        <v>72</v>
      </c>
      <c r="BJ4" s="75" t="s">
        <v>73</v>
      </c>
      <c r="BK4" s="70"/>
      <c r="BL4" s="74" t="s">
        <v>61</v>
      </c>
      <c r="BM4" s="75" t="s">
        <v>72</v>
      </c>
      <c r="BN4" s="75" t="s">
        <v>73</v>
      </c>
      <c r="BO4" s="70"/>
      <c r="BP4" s="74" t="s">
        <v>61</v>
      </c>
      <c r="BQ4" s="75" t="s">
        <v>72</v>
      </c>
      <c r="BR4" s="75" t="s">
        <v>73</v>
      </c>
      <c r="BS4" s="70"/>
      <c r="BT4" s="74" t="s">
        <v>61</v>
      </c>
      <c r="BU4" s="75" t="s">
        <v>72</v>
      </c>
      <c r="BV4" s="75" t="s">
        <v>74</v>
      </c>
      <c r="BW4" s="74" t="s">
        <v>61</v>
      </c>
      <c r="BX4" s="75" t="s">
        <v>72</v>
      </c>
      <c r="BY4" s="75" t="s">
        <v>74</v>
      </c>
      <c r="BZ4" s="74" t="s">
        <v>61</v>
      </c>
      <c r="CA4" s="75" t="s">
        <v>72</v>
      </c>
      <c r="CB4" s="75" t="s">
        <v>74</v>
      </c>
      <c r="CC4" s="74" t="s">
        <v>61</v>
      </c>
      <c r="CD4" s="75" t="s">
        <v>72</v>
      </c>
      <c r="CE4" s="75" t="s">
        <v>74</v>
      </c>
      <c r="CF4" s="74" t="s">
        <v>61</v>
      </c>
      <c r="CG4" s="75" t="s">
        <v>72</v>
      </c>
      <c r="CH4" s="75" t="s">
        <v>74</v>
      </c>
      <c r="CI4" s="76" t="s">
        <v>75</v>
      </c>
      <c r="CJ4" s="75" t="s">
        <v>76</v>
      </c>
      <c r="CK4" s="60"/>
      <c r="CL4" s="72"/>
      <c r="CM4" s="60"/>
      <c r="CN4" s="77"/>
      <c r="CO4" s="78"/>
      <c r="CP4" s="79" t="s">
        <v>77</v>
      </c>
      <c r="CQ4" s="80" t="s">
        <v>78</v>
      </c>
      <c r="CR4" s="61" t="s">
        <v>79</v>
      </c>
      <c r="CS4" s="81" t="s">
        <v>71</v>
      </c>
      <c r="CT4" s="79" t="s">
        <v>77</v>
      </c>
      <c r="CU4" s="80" t="s">
        <v>78</v>
      </c>
      <c r="CV4" s="61" t="s">
        <v>79</v>
      </c>
      <c r="CW4" s="81" t="s">
        <v>71</v>
      </c>
      <c r="CX4" s="82"/>
      <c r="CY4" s="72"/>
      <c r="CZ4" s="60"/>
      <c r="DA4" s="61"/>
      <c r="DB4" s="80" t="s">
        <v>80</v>
      </c>
      <c r="DC4" s="79" t="s">
        <v>81</v>
      </c>
      <c r="DD4" s="83" t="s">
        <v>82</v>
      </c>
      <c r="DE4" s="79" t="s">
        <v>81</v>
      </c>
      <c r="DF4" s="84" t="s">
        <v>82</v>
      </c>
      <c r="DG4" s="85" t="s">
        <v>83</v>
      </c>
      <c r="DH4" s="60"/>
      <c r="DI4" s="72"/>
      <c r="DJ4" s="60"/>
      <c r="DK4" s="61"/>
      <c r="DL4" s="86" t="s">
        <v>80</v>
      </c>
      <c r="DM4" s="79" t="s">
        <v>81</v>
      </c>
      <c r="DN4" s="83" t="s">
        <v>82</v>
      </c>
      <c r="DO4" s="79" t="s">
        <v>81</v>
      </c>
      <c r="DP4" s="83" t="s">
        <v>82</v>
      </c>
      <c r="DQ4" s="60"/>
      <c r="DR4" s="72"/>
      <c r="DS4" s="60"/>
      <c r="DT4" s="61"/>
      <c r="DU4" s="87"/>
      <c r="DV4" s="61" t="s">
        <v>68</v>
      </c>
      <c r="DW4" s="61" t="s">
        <v>69</v>
      </c>
      <c r="DX4" s="61" t="s">
        <v>70</v>
      </c>
      <c r="DY4" s="88" t="s">
        <v>71</v>
      </c>
      <c r="DZ4" s="79" t="s">
        <v>68</v>
      </c>
      <c r="EA4" s="61" t="s">
        <v>69</v>
      </c>
      <c r="EB4" s="61" t="s">
        <v>70</v>
      </c>
      <c r="EC4" s="89" t="s">
        <v>71</v>
      </c>
      <c r="ED4" s="90"/>
      <c r="EE4" s="72"/>
      <c r="EF4" s="60"/>
      <c r="EG4" s="62"/>
      <c r="EH4" s="62"/>
      <c r="EI4" s="91" t="s">
        <v>68</v>
      </c>
      <c r="EJ4" s="92" t="s">
        <v>69</v>
      </c>
      <c r="EK4" s="92" t="s">
        <v>70</v>
      </c>
      <c r="EL4" s="93" t="s">
        <v>71</v>
      </c>
      <c r="EM4" s="91" t="s">
        <v>68</v>
      </c>
      <c r="EN4" s="92" t="s">
        <v>69</v>
      </c>
      <c r="EO4" s="92" t="s">
        <v>70</v>
      </c>
      <c r="EP4" s="93" t="s">
        <v>71</v>
      </c>
      <c r="EQ4" s="94"/>
      <c r="ER4" s="95"/>
      <c r="ES4" s="60"/>
      <c r="ET4" s="62"/>
      <c r="EU4" s="96"/>
      <c r="EV4" s="92" t="s">
        <v>68</v>
      </c>
      <c r="EW4" s="92" t="s">
        <v>69</v>
      </c>
      <c r="EX4" s="92" t="s">
        <v>70</v>
      </c>
      <c r="EY4" s="93" t="s">
        <v>71</v>
      </c>
      <c r="EZ4" s="92" t="s">
        <v>68</v>
      </c>
      <c r="FA4" s="92" t="s">
        <v>69</v>
      </c>
      <c r="FB4" s="92" t="s">
        <v>70</v>
      </c>
      <c r="FC4" s="93" t="s">
        <v>71</v>
      </c>
      <c r="FD4" s="97" t="s">
        <v>84</v>
      </c>
      <c r="FE4" s="97" t="s">
        <v>85</v>
      </c>
      <c r="FF4" s="98" t="s">
        <v>86</v>
      </c>
      <c r="FG4" s="94"/>
      <c r="FH4" s="95"/>
      <c r="FI4" s="60"/>
      <c r="FJ4" s="73"/>
      <c r="FK4" s="73"/>
      <c r="FL4" s="99"/>
      <c r="FM4" s="79" t="s">
        <v>68</v>
      </c>
      <c r="FN4" s="61" t="s">
        <v>69</v>
      </c>
      <c r="FO4" s="61" t="s">
        <v>70</v>
      </c>
      <c r="FP4" s="100" t="s">
        <v>71</v>
      </c>
      <c r="FQ4" s="79" t="str">
        <f>FM4</f>
        <v>Small</v>
      </c>
      <c r="FR4" s="61" t="s">
        <v>69</v>
      </c>
      <c r="FS4" s="61" t="str">
        <f>FO4</f>
        <v>Large</v>
      </c>
      <c r="FT4" s="61" t="s">
        <v>71</v>
      </c>
      <c r="FU4" s="81" t="s">
        <v>87</v>
      </c>
      <c r="FV4" s="101"/>
      <c r="FW4" s="102"/>
      <c r="FX4" s="60"/>
      <c r="FY4" s="70"/>
      <c r="FZ4" s="103"/>
      <c r="GA4" s="61" t="s">
        <v>68</v>
      </c>
      <c r="GB4" s="61" t="s">
        <v>69</v>
      </c>
      <c r="GC4" s="61" t="s">
        <v>70</v>
      </c>
      <c r="GD4" s="100" t="s">
        <v>88</v>
      </c>
      <c r="GE4" s="79" t="s">
        <v>68</v>
      </c>
      <c r="GF4" s="61" t="s">
        <v>69</v>
      </c>
      <c r="GG4" s="61" t="s">
        <v>70</v>
      </c>
      <c r="GH4" s="100" t="s">
        <v>88</v>
      </c>
      <c r="GI4" s="104"/>
      <c r="GJ4" s="105"/>
      <c r="GK4" s="60"/>
      <c r="GL4" s="70"/>
      <c r="GM4" s="99"/>
      <c r="GN4" s="79" t="s">
        <v>68</v>
      </c>
      <c r="GO4" s="61" t="s">
        <v>69</v>
      </c>
      <c r="GP4" s="61" t="s">
        <v>70</v>
      </c>
      <c r="GQ4" s="100" t="s">
        <v>71</v>
      </c>
      <c r="GR4" s="79" t="s">
        <v>68</v>
      </c>
      <c r="GS4" s="61" t="s">
        <v>69</v>
      </c>
      <c r="GT4" s="61" t="s">
        <v>70</v>
      </c>
      <c r="GU4" s="100" t="s">
        <v>71</v>
      </c>
      <c r="GV4" s="60"/>
      <c r="GW4" s="72"/>
      <c r="GX4" s="60"/>
      <c r="GY4" s="60"/>
      <c r="GZ4" s="106"/>
      <c r="HA4" s="75" t="s">
        <v>89</v>
      </c>
      <c r="HB4" s="75" t="s">
        <v>90</v>
      </c>
      <c r="HC4" s="75" t="s">
        <v>91</v>
      </c>
      <c r="HD4" s="107" t="s">
        <v>92</v>
      </c>
      <c r="HE4" s="108" t="s">
        <v>93</v>
      </c>
      <c r="HF4" s="108" t="s">
        <v>94</v>
      </c>
      <c r="HG4" s="108" t="s">
        <v>95</v>
      </c>
      <c r="HH4" s="108" t="s">
        <v>96</v>
      </c>
      <c r="HI4" s="108" t="s">
        <v>97</v>
      </c>
      <c r="HJ4" s="108" t="s">
        <v>98</v>
      </c>
      <c r="HK4" s="52"/>
      <c r="HL4" s="102"/>
      <c r="HM4" s="52"/>
      <c r="HN4" s="75"/>
      <c r="HO4" s="109" t="s">
        <v>89</v>
      </c>
      <c r="HP4" s="110" t="str">
        <f>HG4</f>
        <v>Volume Ratio</v>
      </c>
      <c r="HQ4" s="111" t="s">
        <v>99</v>
      </c>
      <c r="HR4" s="85" t="s">
        <v>100</v>
      </c>
      <c r="HS4" s="111" t="str">
        <f>IT4</f>
        <v>Study System</v>
      </c>
      <c r="HT4" s="85" t="s">
        <v>101</v>
      </c>
      <c r="HU4" s="111" t="str">
        <f>HS4</f>
        <v>Study System</v>
      </c>
      <c r="HV4" s="85" t="s">
        <v>101</v>
      </c>
      <c r="HW4" s="111" t="str">
        <f>HU4</f>
        <v>Study System</v>
      </c>
      <c r="HX4" s="85" t="s">
        <v>101</v>
      </c>
      <c r="HY4" s="111" t="s">
        <v>102</v>
      </c>
      <c r="HZ4" s="112" t="s">
        <v>103</v>
      </c>
      <c r="IA4" s="113"/>
      <c r="IB4" s="114"/>
      <c r="IC4" s="113"/>
      <c r="ID4" s="87"/>
      <c r="IE4" s="115" t="s">
        <v>89</v>
      </c>
      <c r="IF4" s="116" t="s">
        <v>94</v>
      </c>
      <c r="IG4" s="116" t="s">
        <v>95</v>
      </c>
      <c r="IH4" s="87" t="str">
        <f>HQ4</f>
        <v>Study System</v>
      </c>
      <c r="II4" s="117" t="s">
        <v>104</v>
      </c>
      <c r="IJ4" s="118" t="str">
        <f>IH4</f>
        <v>Study System</v>
      </c>
      <c r="IK4" s="117" t="s">
        <v>105</v>
      </c>
      <c r="IL4" s="118" t="str">
        <f>IH4</f>
        <v>Study System</v>
      </c>
      <c r="IM4" s="117" t="s">
        <v>106</v>
      </c>
      <c r="IN4" s="118" t="str">
        <f>IL4</f>
        <v>Study System</v>
      </c>
      <c r="IO4" s="117" t="s">
        <v>107</v>
      </c>
      <c r="IP4" s="118" t="str">
        <f>IN4</f>
        <v>Study System</v>
      </c>
      <c r="IQ4" s="117" t="s">
        <v>108</v>
      </c>
      <c r="IR4" s="118" t="str">
        <f>IP4</f>
        <v>Study System</v>
      </c>
      <c r="IS4" s="117" t="s">
        <v>109</v>
      </c>
      <c r="IT4" s="118" t="str">
        <f>IN4</f>
        <v>Study System</v>
      </c>
      <c r="IU4" s="117" t="s">
        <v>110</v>
      </c>
      <c r="IV4" s="118" t="str">
        <f>IT4</f>
        <v>Study System</v>
      </c>
      <c r="IW4" s="117" t="s">
        <v>111</v>
      </c>
      <c r="IX4" s="118" t="s">
        <v>112</v>
      </c>
      <c r="IY4" s="119" t="s">
        <v>113</v>
      </c>
      <c r="IZ4" s="119" t="s">
        <v>114</v>
      </c>
      <c r="JA4" s="113"/>
      <c r="JB4" s="114"/>
      <c r="JC4" s="120"/>
      <c r="JD4" s="121"/>
      <c r="JE4" s="65" t="s">
        <v>89</v>
      </c>
      <c r="JF4" s="122" t="s">
        <v>115</v>
      </c>
      <c r="JG4" s="122" t="s">
        <v>116</v>
      </c>
      <c r="JH4" s="122" t="s">
        <v>117</v>
      </c>
      <c r="JI4" s="122" t="s">
        <v>118</v>
      </c>
      <c r="JJ4" s="122" t="s">
        <v>94</v>
      </c>
      <c r="JK4" s="122" t="s">
        <v>95</v>
      </c>
      <c r="JL4" s="65" t="s">
        <v>119</v>
      </c>
      <c r="JM4" s="122" t="s">
        <v>120</v>
      </c>
      <c r="JN4" s="52"/>
      <c r="JO4" s="55"/>
      <c r="JP4" s="123"/>
      <c r="JQ4" s="75"/>
      <c r="JR4" s="76" t="s">
        <v>89</v>
      </c>
      <c r="JS4" s="110" t="str">
        <f>JM4</f>
        <v>FY Quarter</v>
      </c>
      <c r="JT4" s="110" t="str">
        <f>JL4</f>
        <v>Total System Ratio</v>
      </c>
      <c r="JU4" s="111" t="s">
        <v>25</v>
      </c>
      <c r="JV4" s="85" t="s">
        <v>121</v>
      </c>
      <c r="JW4" s="111" t="s">
        <v>25</v>
      </c>
      <c r="JX4" s="85" t="str">
        <f>KY4</f>
        <v>Target Year</v>
      </c>
      <c r="JY4" s="111" t="str">
        <f>JW4</f>
        <v>Total System</v>
      </c>
      <c r="JZ4" s="85" t="str">
        <f>JX4</f>
        <v>Target Year</v>
      </c>
      <c r="KA4" s="112" t="s">
        <v>25</v>
      </c>
      <c r="KB4" s="112" t="s">
        <v>121</v>
      </c>
      <c r="KC4" s="111" t="s">
        <v>122</v>
      </c>
      <c r="KD4" s="112" t="s">
        <v>123</v>
      </c>
      <c r="KE4" s="123"/>
      <c r="KF4" s="124"/>
      <c r="KG4" s="123"/>
      <c r="KH4" s="87"/>
      <c r="KI4" s="109" t="s">
        <v>124</v>
      </c>
      <c r="KJ4" s="125" t="s">
        <v>94</v>
      </c>
      <c r="KK4" s="110" t="s">
        <v>95</v>
      </c>
      <c r="KL4" s="111" t="s">
        <v>125</v>
      </c>
      <c r="KM4" s="85" t="s">
        <v>121</v>
      </c>
      <c r="KN4" s="111" t="s">
        <v>125</v>
      </c>
      <c r="KO4" s="85" t="str">
        <f>KM4</f>
        <v>Target Year</v>
      </c>
      <c r="KP4" s="111" t="s">
        <v>125</v>
      </c>
      <c r="KQ4" s="85" t="str">
        <f>KO4</f>
        <v>Target Year</v>
      </c>
      <c r="KR4" s="111" t="s">
        <v>125</v>
      </c>
      <c r="KS4" s="85" t="str">
        <f>KQ4</f>
        <v>Target Year</v>
      </c>
      <c r="KT4" s="111" t="s">
        <v>125</v>
      </c>
      <c r="KU4" s="85" t="str">
        <f>KQ4</f>
        <v>Target Year</v>
      </c>
      <c r="KV4" s="111" t="s">
        <v>125</v>
      </c>
      <c r="KW4" s="85" t="str">
        <f>KS4</f>
        <v>Target Year</v>
      </c>
      <c r="KX4" s="111" t="s">
        <v>125</v>
      </c>
      <c r="KY4" s="85" t="str">
        <f>KS4</f>
        <v>Target Year</v>
      </c>
      <c r="KZ4" s="111" t="s">
        <v>125</v>
      </c>
      <c r="LA4" s="85" t="str">
        <f>KY4</f>
        <v>Target Year</v>
      </c>
      <c r="LB4" s="111" t="s">
        <v>25</v>
      </c>
      <c r="LC4" s="112" t="s">
        <v>423</v>
      </c>
      <c r="LD4" s="126"/>
      <c r="LE4" s="127"/>
      <c r="LG4" s="87"/>
      <c r="LH4" s="80" t="s">
        <v>89</v>
      </c>
      <c r="LI4" s="111" t="s">
        <v>99</v>
      </c>
      <c r="LJ4" s="80" t="s">
        <v>25</v>
      </c>
      <c r="LK4" s="85" t="s">
        <v>121</v>
      </c>
      <c r="LL4" s="111" t="s">
        <v>99</v>
      </c>
      <c r="LM4" s="80" t="s">
        <v>25</v>
      </c>
      <c r="LN4" s="85" t="s">
        <v>121</v>
      </c>
      <c r="LO4" s="111" t="s">
        <v>99</v>
      </c>
      <c r="LP4" s="80" t="s">
        <v>25</v>
      </c>
      <c r="LQ4" s="85" t="s">
        <v>121</v>
      </c>
      <c r="LR4" s="60"/>
      <c r="LS4" s="72"/>
      <c r="LT4" s="60"/>
      <c r="LU4" s="80"/>
      <c r="LV4" s="80" t="s">
        <v>126</v>
      </c>
      <c r="LW4" s="80" t="s">
        <v>127</v>
      </c>
      <c r="LX4" s="60"/>
      <c r="LY4" s="72"/>
      <c r="LZ4" s="60"/>
      <c r="MA4" s="61"/>
      <c r="MB4" s="62"/>
      <c r="MC4" s="1047" t="s">
        <v>128</v>
      </c>
      <c r="MD4" s="1047"/>
      <c r="ME4" s="128"/>
      <c r="MF4" s="1048" t="s">
        <v>129</v>
      </c>
      <c r="MG4" s="1047"/>
      <c r="MH4" s="60"/>
      <c r="MI4" s="72"/>
      <c r="MJ4" s="60"/>
      <c r="MK4" s="61"/>
      <c r="ML4" s="129"/>
      <c r="MM4" s="128" t="s">
        <v>130</v>
      </c>
      <c r="MN4" s="129" t="s">
        <v>131</v>
      </c>
      <c r="MO4" s="128" t="s">
        <v>132</v>
      </c>
      <c r="MP4" s="128" t="s">
        <v>132</v>
      </c>
      <c r="MQ4" s="60"/>
      <c r="MR4" s="72"/>
      <c r="MS4" s="6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0"/>
      <c r="NT4" s="130"/>
      <c r="NU4" s="130"/>
      <c r="NV4" s="130"/>
      <c r="NW4" s="130"/>
      <c r="NX4" s="130"/>
      <c r="NY4" s="130"/>
      <c r="NZ4" s="130"/>
      <c r="OA4" s="130"/>
      <c r="OB4" s="130"/>
      <c r="OC4" s="130"/>
      <c r="OD4" s="130"/>
      <c r="OE4" s="130"/>
      <c r="OF4" s="130"/>
      <c r="OG4" s="130"/>
      <c r="OH4" s="130"/>
      <c r="OI4" s="130"/>
      <c r="OJ4" s="130"/>
      <c r="OK4" s="130"/>
      <c r="OL4" s="130"/>
      <c r="OM4" s="130"/>
      <c r="ON4" s="130"/>
      <c r="OO4" s="130"/>
    </row>
    <row r="5" spans="1:405" s="141" customFormat="1" ht="20.25" customHeight="1" x14ac:dyDescent="0.3">
      <c r="A5" s="131"/>
      <c r="B5" s="132" t="s">
        <v>133</v>
      </c>
      <c r="C5" s="133"/>
      <c r="D5" s="134"/>
      <c r="E5" s="135"/>
      <c r="F5" s="136" t="s">
        <v>134</v>
      </c>
      <c r="G5" s="137" t="s">
        <v>135</v>
      </c>
      <c r="H5" s="138" t="s">
        <v>136</v>
      </c>
      <c r="I5" s="132" t="s">
        <v>137</v>
      </c>
      <c r="J5" s="137" t="s">
        <v>138</v>
      </c>
      <c r="K5" s="136" t="s">
        <v>139</v>
      </c>
      <c r="L5" s="139" t="s">
        <v>140</v>
      </c>
      <c r="M5" s="137" t="s">
        <v>141</v>
      </c>
      <c r="N5" s="136" t="s">
        <v>142</v>
      </c>
      <c r="O5" s="139" t="s">
        <v>143</v>
      </c>
      <c r="P5" s="137" t="s">
        <v>144</v>
      </c>
      <c r="Q5" s="140" t="s">
        <v>145</v>
      </c>
      <c r="R5" s="132" t="s">
        <v>146</v>
      </c>
      <c r="T5" s="142"/>
      <c r="U5" s="131"/>
      <c r="V5" s="143" t="s">
        <v>133</v>
      </c>
      <c r="W5" s="144" t="s">
        <v>134</v>
      </c>
      <c r="X5" s="143" t="s">
        <v>135</v>
      </c>
      <c r="Y5" s="145" t="s">
        <v>147</v>
      </c>
      <c r="Z5" s="143" t="s">
        <v>137</v>
      </c>
      <c r="AA5" s="143" t="s">
        <v>138</v>
      </c>
      <c r="AB5" s="123"/>
      <c r="AC5" s="146"/>
      <c r="AD5" s="142"/>
      <c r="AE5" s="131"/>
      <c r="AF5" s="143" t="s">
        <v>133</v>
      </c>
      <c r="AG5" s="144" t="s">
        <v>134</v>
      </c>
      <c r="AH5" s="143" t="s">
        <v>135</v>
      </c>
      <c r="AI5" s="145" t="s">
        <v>147</v>
      </c>
      <c r="AJ5" s="143" t="s">
        <v>137</v>
      </c>
      <c r="AK5" s="131"/>
      <c r="AL5" s="147"/>
      <c r="AM5" s="131"/>
      <c r="AN5" s="143" t="s">
        <v>133</v>
      </c>
      <c r="AO5" s="6"/>
      <c r="AP5" s="148"/>
      <c r="AQ5" s="148"/>
      <c r="AR5" s="149"/>
      <c r="AS5" s="143" t="s">
        <v>134</v>
      </c>
      <c r="AT5" s="143" t="s">
        <v>135</v>
      </c>
      <c r="AU5" s="143"/>
      <c r="AV5" s="143">
        <v>0</v>
      </c>
      <c r="AW5" s="143" t="s">
        <v>135</v>
      </c>
      <c r="AX5" s="143" t="s">
        <v>147</v>
      </c>
      <c r="AY5" s="143"/>
      <c r="AZ5" s="143" t="s">
        <v>137</v>
      </c>
      <c r="BA5" s="143" t="s">
        <v>138</v>
      </c>
      <c r="BB5" s="143" t="s">
        <v>139</v>
      </c>
      <c r="BC5" s="143"/>
      <c r="BD5" s="143" t="s">
        <v>140</v>
      </c>
      <c r="BE5" s="143" t="s">
        <v>141</v>
      </c>
      <c r="BF5" s="143" t="s">
        <v>142</v>
      </c>
      <c r="BG5" s="143"/>
      <c r="BH5" s="143" t="s">
        <v>143</v>
      </c>
      <c r="BI5" s="143" t="s">
        <v>144</v>
      </c>
      <c r="BJ5" s="143" t="s">
        <v>145</v>
      </c>
      <c r="BK5" s="143"/>
      <c r="BL5" s="143" t="s">
        <v>146</v>
      </c>
      <c r="BM5" s="143" t="s">
        <v>148</v>
      </c>
      <c r="BN5" s="143" t="s">
        <v>149</v>
      </c>
      <c r="BO5" s="143"/>
      <c r="BP5" s="143" t="s">
        <v>150</v>
      </c>
      <c r="BQ5" s="143" t="s">
        <v>151</v>
      </c>
      <c r="BR5" s="143" t="s">
        <v>152</v>
      </c>
      <c r="BS5" s="143"/>
      <c r="BT5" s="143" t="s">
        <v>153</v>
      </c>
      <c r="BU5" s="143" t="s">
        <v>154</v>
      </c>
      <c r="BV5" s="143" t="s">
        <v>155</v>
      </c>
      <c r="BW5" s="144" t="s">
        <v>134</v>
      </c>
      <c r="BX5" s="143" t="s">
        <v>135</v>
      </c>
      <c r="BY5" s="143" t="s">
        <v>136</v>
      </c>
      <c r="BZ5" s="144" t="s">
        <v>134</v>
      </c>
      <c r="CA5" s="143" t="s">
        <v>135</v>
      </c>
      <c r="CB5" s="143" t="s">
        <v>136</v>
      </c>
      <c r="CC5" s="143" t="s">
        <v>134</v>
      </c>
      <c r="CD5" s="143" t="s">
        <v>135</v>
      </c>
      <c r="CE5" s="143"/>
      <c r="CF5" s="150" t="s">
        <v>137</v>
      </c>
      <c r="CG5" s="143" t="s">
        <v>138</v>
      </c>
      <c r="CH5" s="143" t="s">
        <v>139</v>
      </c>
      <c r="CI5" s="151" t="s">
        <v>140</v>
      </c>
      <c r="CJ5" s="143" t="s">
        <v>141</v>
      </c>
      <c r="CK5" s="131"/>
      <c r="CL5" s="142"/>
      <c r="CM5" s="131"/>
      <c r="CN5" s="143" t="s">
        <v>133</v>
      </c>
      <c r="CO5" s="152"/>
      <c r="CP5" s="143" t="s">
        <v>134</v>
      </c>
      <c r="CQ5" s="143" t="s">
        <v>135</v>
      </c>
      <c r="CR5" s="143" t="s">
        <v>147</v>
      </c>
      <c r="CS5" s="153" t="s">
        <v>137</v>
      </c>
      <c r="CT5" s="143" t="s">
        <v>138</v>
      </c>
      <c r="CU5" s="143" t="s">
        <v>139</v>
      </c>
      <c r="CV5" s="143" t="s">
        <v>140</v>
      </c>
      <c r="CW5" s="143" t="s">
        <v>141</v>
      </c>
      <c r="CX5" s="154"/>
      <c r="CY5" s="102"/>
      <c r="CZ5" s="131"/>
      <c r="DA5" s="143" t="s">
        <v>133</v>
      </c>
      <c r="DB5" s="155"/>
      <c r="DC5" s="143" t="s">
        <v>134</v>
      </c>
      <c r="DD5" s="156" t="s">
        <v>135</v>
      </c>
      <c r="DE5" s="143" t="s">
        <v>147</v>
      </c>
      <c r="DF5" s="157" t="s">
        <v>137</v>
      </c>
      <c r="DG5" s="157" t="s">
        <v>138</v>
      </c>
      <c r="DH5" s="131"/>
      <c r="DI5" s="102"/>
      <c r="DJ5" s="131"/>
      <c r="DK5" s="143" t="s">
        <v>133</v>
      </c>
      <c r="DL5" s="155"/>
      <c r="DM5" s="143" t="s">
        <v>134</v>
      </c>
      <c r="DN5" s="156" t="s">
        <v>135</v>
      </c>
      <c r="DO5" s="143" t="s">
        <v>147</v>
      </c>
      <c r="DP5" s="157" t="s">
        <v>137</v>
      </c>
      <c r="DQ5" s="131"/>
      <c r="DR5" s="142"/>
      <c r="DS5" s="131"/>
      <c r="DT5" s="143" t="s">
        <v>133</v>
      </c>
      <c r="DU5" s="158"/>
      <c r="DV5" s="157" t="s">
        <v>134</v>
      </c>
      <c r="DW5" s="157" t="s">
        <v>135</v>
      </c>
      <c r="DX5" s="157" t="s">
        <v>147</v>
      </c>
      <c r="DY5" s="157" t="s">
        <v>137</v>
      </c>
      <c r="DZ5" s="159" t="s">
        <v>138</v>
      </c>
      <c r="EA5" s="157" t="s">
        <v>139</v>
      </c>
      <c r="EB5" s="157" t="s">
        <v>140</v>
      </c>
      <c r="EC5" s="157" t="s">
        <v>141</v>
      </c>
      <c r="ED5" s="131"/>
      <c r="EE5" s="142"/>
      <c r="EF5" s="131"/>
      <c r="EG5" s="143" t="s">
        <v>133</v>
      </c>
      <c r="EH5" s="152"/>
      <c r="EI5" s="143" t="s">
        <v>134</v>
      </c>
      <c r="EJ5" s="143" t="s">
        <v>135</v>
      </c>
      <c r="EK5" s="143" t="s">
        <v>147</v>
      </c>
      <c r="EL5" s="153" t="s">
        <v>137</v>
      </c>
      <c r="EM5" s="143" t="s">
        <v>138</v>
      </c>
      <c r="EN5" s="143" t="s">
        <v>139</v>
      </c>
      <c r="EO5" s="143" t="s">
        <v>140</v>
      </c>
      <c r="EP5" s="143" t="s">
        <v>141</v>
      </c>
      <c r="EQ5" s="160"/>
      <c r="ER5" s="161"/>
      <c r="ES5" s="131"/>
      <c r="ET5" s="143" t="s">
        <v>133</v>
      </c>
      <c r="EU5" s="152"/>
      <c r="EV5" s="143" t="s">
        <v>134</v>
      </c>
      <c r="EW5" s="143" t="s">
        <v>135</v>
      </c>
      <c r="EX5" s="143" t="s">
        <v>147</v>
      </c>
      <c r="EY5" s="153" t="s">
        <v>137</v>
      </c>
      <c r="EZ5" s="143" t="s">
        <v>138</v>
      </c>
      <c r="FA5" s="143" t="s">
        <v>139</v>
      </c>
      <c r="FB5" s="143" t="s">
        <v>140</v>
      </c>
      <c r="FC5" s="153" t="s">
        <v>141</v>
      </c>
      <c r="FD5" s="143" t="s">
        <v>142</v>
      </c>
      <c r="FE5" s="143" t="s">
        <v>143</v>
      </c>
      <c r="FF5" s="143" t="s">
        <v>144</v>
      </c>
      <c r="FG5" s="160"/>
      <c r="FH5" s="161"/>
      <c r="FI5" s="131"/>
      <c r="FJ5" s="143" t="s">
        <v>133</v>
      </c>
      <c r="FK5" s="148"/>
      <c r="FL5" s="162"/>
      <c r="FM5" s="143" t="s">
        <v>134</v>
      </c>
      <c r="FN5" s="143" t="s">
        <v>135</v>
      </c>
      <c r="FO5" s="143" t="s">
        <v>147</v>
      </c>
      <c r="FP5" s="153" t="s">
        <v>137</v>
      </c>
      <c r="FQ5" s="143" t="s">
        <v>138</v>
      </c>
      <c r="FR5" s="143" t="s">
        <v>139</v>
      </c>
      <c r="FS5" s="143" t="s">
        <v>140</v>
      </c>
      <c r="FT5" s="143" t="s">
        <v>141</v>
      </c>
      <c r="FU5" s="143" t="s">
        <v>142</v>
      </c>
      <c r="FV5" s="160"/>
      <c r="FW5" s="102"/>
      <c r="FX5" s="131"/>
      <c r="FY5" s="143" t="s">
        <v>133</v>
      </c>
      <c r="FZ5" s="163"/>
      <c r="GA5" s="143" t="s">
        <v>134</v>
      </c>
      <c r="GB5" s="143" t="s">
        <v>135</v>
      </c>
      <c r="GC5" s="143" t="s">
        <v>147</v>
      </c>
      <c r="GD5" s="153" t="s">
        <v>137</v>
      </c>
      <c r="GE5" s="143" t="s">
        <v>138</v>
      </c>
      <c r="GF5" s="143" t="s">
        <v>139</v>
      </c>
      <c r="GG5" s="143" t="s">
        <v>140</v>
      </c>
      <c r="GH5" s="143" t="s">
        <v>141</v>
      </c>
      <c r="GI5" s="164"/>
      <c r="GJ5" s="142"/>
      <c r="GK5" s="131"/>
      <c r="GL5" s="143" t="s">
        <v>133</v>
      </c>
      <c r="GM5" s="149"/>
      <c r="GN5" s="143" t="s">
        <v>134</v>
      </c>
      <c r="GO5" s="143" t="s">
        <v>135</v>
      </c>
      <c r="GP5" s="143" t="s">
        <v>147</v>
      </c>
      <c r="GQ5" s="153" t="s">
        <v>137</v>
      </c>
      <c r="GR5" s="143" t="s">
        <v>138</v>
      </c>
      <c r="GS5" s="143" t="s">
        <v>139</v>
      </c>
      <c r="GT5" s="143" t="s">
        <v>140</v>
      </c>
      <c r="GU5" s="143" t="s">
        <v>141</v>
      </c>
      <c r="GV5" s="131"/>
      <c r="GW5" s="142"/>
      <c r="GX5" s="131"/>
      <c r="GY5" s="131"/>
      <c r="GZ5" s="165" t="s">
        <v>156</v>
      </c>
      <c r="HA5" s="143" t="s">
        <v>134</v>
      </c>
      <c r="HB5" s="143" t="s">
        <v>135</v>
      </c>
      <c r="HC5" s="143" t="s">
        <v>147</v>
      </c>
      <c r="HD5" s="143" t="s">
        <v>137</v>
      </c>
      <c r="HE5" s="143" t="s">
        <v>138</v>
      </c>
      <c r="HF5" s="143" t="s">
        <v>139</v>
      </c>
      <c r="HG5" s="143" t="s">
        <v>140</v>
      </c>
      <c r="HH5" s="143" t="s">
        <v>141</v>
      </c>
      <c r="HI5" s="143" t="s">
        <v>142</v>
      </c>
      <c r="HJ5" s="143" t="s">
        <v>143</v>
      </c>
      <c r="HK5" s="123"/>
      <c r="HL5" s="49"/>
      <c r="HM5" s="123"/>
      <c r="HN5" s="166" t="s">
        <v>133</v>
      </c>
      <c r="HO5" s="167" t="s">
        <v>134</v>
      </c>
      <c r="HP5" s="153" t="s">
        <v>135</v>
      </c>
      <c r="HQ5" s="143" t="s">
        <v>147</v>
      </c>
      <c r="HR5" s="153" t="s">
        <v>137</v>
      </c>
      <c r="HS5" s="143" t="s">
        <v>138</v>
      </c>
      <c r="HT5" s="153" t="s">
        <v>139</v>
      </c>
      <c r="HU5" s="143" t="s">
        <v>140</v>
      </c>
      <c r="HV5" s="153" t="s">
        <v>141</v>
      </c>
      <c r="HW5" s="143" t="s">
        <v>142</v>
      </c>
      <c r="HX5" s="143" t="s">
        <v>143</v>
      </c>
      <c r="HY5" s="143" t="s">
        <v>144</v>
      </c>
      <c r="HZ5" s="143" t="s">
        <v>145</v>
      </c>
      <c r="IA5" s="123"/>
      <c r="IB5" s="124"/>
      <c r="IC5" s="123"/>
      <c r="ID5" s="168" t="s">
        <v>156</v>
      </c>
      <c r="IE5" s="169" t="s">
        <v>134</v>
      </c>
      <c r="IF5" s="170" t="s">
        <v>135</v>
      </c>
      <c r="IG5" s="169" t="s">
        <v>147</v>
      </c>
      <c r="IH5" s="171" t="s">
        <v>137</v>
      </c>
      <c r="II5" s="170" t="s">
        <v>138</v>
      </c>
      <c r="IJ5" s="171" t="s">
        <v>139</v>
      </c>
      <c r="IK5" s="170" t="s">
        <v>140</v>
      </c>
      <c r="IL5" s="171" t="s">
        <v>141</v>
      </c>
      <c r="IM5" s="170" t="s">
        <v>142</v>
      </c>
      <c r="IN5" s="171" t="s">
        <v>143</v>
      </c>
      <c r="IO5" s="170" t="s">
        <v>144</v>
      </c>
      <c r="IP5" s="171" t="s">
        <v>145</v>
      </c>
      <c r="IQ5" s="170" t="s">
        <v>146</v>
      </c>
      <c r="IR5" s="171" t="s">
        <v>148</v>
      </c>
      <c r="IS5" s="170" t="s">
        <v>149</v>
      </c>
      <c r="IT5" s="171" t="s">
        <v>150</v>
      </c>
      <c r="IU5" s="170" t="s">
        <v>151</v>
      </c>
      <c r="IV5" s="172" t="s">
        <v>157</v>
      </c>
      <c r="IW5" s="170" t="s">
        <v>153</v>
      </c>
      <c r="IX5" s="171" t="s">
        <v>154</v>
      </c>
      <c r="IY5" s="171" t="s">
        <v>155</v>
      </c>
      <c r="IZ5" s="171" t="s">
        <v>158</v>
      </c>
      <c r="JA5" s="123"/>
      <c r="JB5" s="124"/>
      <c r="JC5" s="11"/>
      <c r="JD5" s="165" t="s">
        <v>133</v>
      </c>
      <c r="JE5" s="143" t="s">
        <v>134</v>
      </c>
      <c r="JF5" s="143" t="s">
        <v>135</v>
      </c>
      <c r="JG5" s="143" t="s">
        <v>159</v>
      </c>
      <c r="JH5" s="143" t="s">
        <v>137</v>
      </c>
      <c r="JI5" s="143" t="s">
        <v>160</v>
      </c>
      <c r="JJ5" s="143" t="s">
        <v>139</v>
      </c>
      <c r="JK5" s="143" t="s">
        <v>140</v>
      </c>
      <c r="JL5" s="143" t="s">
        <v>141</v>
      </c>
      <c r="JM5" s="143" t="s">
        <v>142</v>
      </c>
      <c r="JN5" s="123"/>
      <c r="JO5" s="124"/>
      <c r="JP5" s="52"/>
      <c r="JQ5" s="165" t="s">
        <v>133</v>
      </c>
      <c r="JR5" s="143" t="str">
        <f>JE5</f>
        <v>(a)</v>
      </c>
      <c r="JS5" s="143" t="s">
        <v>135</v>
      </c>
      <c r="JT5" s="143" t="s">
        <v>159</v>
      </c>
      <c r="JU5" s="143" t="s">
        <v>137</v>
      </c>
      <c r="JV5" s="143" t="s">
        <v>160</v>
      </c>
      <c r="JW5" s="143" t="s">
        <v>139</v>
      </c>
      <c r="JX5" s="143" t="s">
        <v>140</v>
      </c>
      <c r="JY5" s="143" t="s">
        <v>141</v>
      </c>
      <c r="JZ5" s="143" t="s">
        <v>142</v>
      </c>
      <c r="KA5" s="143" t="s">
        <v>143</v>
      </c>
      <c r="KB5" s="143" t="s">
        <v>144</v>
      </c>
      <c r="KC5" s="143" t="s">
        <v>145</v>
      </c>
      <c r="KD5" s="143" t="s">
        <v>146</v>
      </c>
      <c r="KE5" s="52"/>
      <c r="KF5" s="55"/>
      <c r="KG5" s="52"/>
      <c r="KH5" s="173" t="s">
        <v>133</v>
      </c>
      <c r="KI5" s="167" t="s">
        <v>134</v>
      </c>
      <c r="KJ5" s="167" t="s">
        <v>135</v>
      </c>
      <c r="KK5" s="167" t="s">
        <v>159</v>
      </c>
      <c r="KL5" s="143" t="s">
        <v>137</v>
      </c>
      <c r="KM5" s="153" t="s">
        <v>160</v>
      </c>
      <c r="KN5" s="143" t="s">
        <v>139</v>
      </c>
      <c r="KO5" s="153" t="s">
        <v>140</v>
      </c>
      <c r="KP5" s="143" t="s">
        <v>141</v>
      </c>
      <c r="KQ5" s="153" t="s">
        <v>142</v>
      </c>
      <c r="KR5" s="153" t="s">
        <v>143</v>
      </c>
      <c r="KS5" s="153" t="s">
        <v>144</v>
      </c>
      <c r="KT5" s="143" t="s">
        <v>145</v>
      </c>
      <c r="KU5" s="153" t="s">
        <v>146</v>
      </c>
      <c r="KV5" s="143" t="s">
        <v>148</v>
      </c>
      <c r="KW5" s="153" t="s">
        <v>149</v>
      </c>
      <c r="KX5" s="143" t="s">
        <v>150</v>
      </c>
      <c r="KY5" s="153" t="s">
        <v>151</v>
      </c>
      <c r="KZ5" s="143" t="s">
        <v>152</v>
      </c>
      <c r="LA5" s="153" t="s">
        <v>161</v>
      </c>
      <c r="LB5" s="143" t="s">
        <v>154</v>
      </c>
      <c r="LC5" s="143" t="s">
        <v>155</v>
      </c>
      <c r="LD5" s="11"/>
      <c r="LE5" s="105"/>
      <c r="LG5" s="165" t="s">
        <v>156</v>
      </c>
      <c r="LH5" s="153" t="s">
        <v>134</v>
      </c>
      <c r="LI5" s="143" t="s">
        <v>135</v>
      </c>
      <c r="LJ5" s="143" t="s">
        <v>159</v>
      </c>
      <c r="LK5" s="153" t="s">
        <v>137</v>
      </c>
      <c r="LL5" s="143" t="s">
        <v>160</v>
      </c>
      <c r="LM5" s="143" t="s">
        <v>139</v>
      </c>
      <c r="LN5" s="153" t="s">
        <v>140</v>
      </c>
      <c r="LO5" s="143" t="s">
        <v>141</v>
      </c>
      <c r="LP5" s="143" t="s">
        <v>142</v>
      </c>
      <c r="LQ5" s="143" t="s">
        <v>143</v>
      </c>
      <c r="LR5" s="131"/>
      <c r="LS5" s="147"/>
      <c r="LU5" s="165" t="s">
        <v>133</v>
      </c>
      <c r="LV5" s="144" t="s">
        <v>134</v>
      </c>
      <c r="LW5" s="143" t="s">
        <v>135</v>
      </c>
      <c r="LY5" s="147"/>
      <c r="MA5" s="174"/>
      <c r="MB5" s="174"/>
      <c r="MC5" s="175" t="s">
        <v>61</v>
      </c>
      <c r="MD5" s="176" t="s">
        <v>62</v>
      </c>
      <c r="ME5" s="177"/>
      <c r="MF5" s="178" t="s">
        <v>61</v>
      </c>
      <c r="MG5" s="176" t="s">
        <v>62</v>
      </c>
      <c r="MH5" s="131"/>
      <c r="MI5" s="147"/>
      <c r="MK5" s="174"/>
      <c r="ML5" s="174"/>
      <c r="MM5" s="174"/>
      <c r="MN5" s="174"/>
      <c r="MO5" s="179" t="s">
        <v>162</v>
      </c>
      <c r="MP5" s="179" t="s">
        <v>163</v>
      </c>
      <c r="MQ5" s="131"/>
      <c r="MR5" s="147"/>
      <c r="MT5" s="180"/>
      <c r="MU5" s="180"/>
      <c r="MV5" s="180"/>
      <c r="MW5" s="180"/>
      <c r="MX5" s="180"/>
      <c r="MY5" s="180"/>
      <c r="MZ5" s="180"/>
      <c r="NA5" s="180"/>
      <c r="NB5" s="180"/>
      <c r="NC5" s="180"/>
      <c r="ND5" s="180"/>
      <c r="NE5" s="180"/>
      <c r="NF5" s="180"/>
      <c r="NG5" s="180"/>
      <c r="NH5" s="180"/>
      <c r="NI5" s="180"/>
      <c r="NJ5" s="180"/>
      <c r="NK5" s="180"/>
      <c r="NL5" s="180"/>
      <c r="NM5" s="180"/>
      <c r="NN5" s="180"/>
      <c r="NO5" s="180"/>
      <c r="NP5" s="180"/>
      <c r="NQ5" s="180"/>
      <c r="NR5" s="180"/>
      <c r="NS5" s="180"/>
      <c r="NT5" s="180"/>
      <c r="NU5" s="180"/>
      <c r="NV5" s="180"/>
      <c r="NW5" s="180"/>
      <c r="NX5" s="180"/>
      <c r="NY5" s="180"/>
      <c r="NZ5" s="180"/>
      <c r="OA5" s="180"/>
      <c r="OB5" s="180"/>
      <c r="OC5" s="180"/>
      <c r="OD5" s="180"/>
      <c r="OE5" s="180"/>
      <c r="OF5" s="180"/>
      <c r="OG5" s="180"/>
      <c r="OH5" s="180"/>
      <c r="OI5" s="180"/>
      <c r="OJ5" s="180"/>
      <c r="OK5" s="180"/>
      <c r="OL5" s="180"/>
      <c r="OM5" s="180"/>
      <c r="ON5" s="180"/>
      <c r="OO5" s="180"/>
    </row>
    <row r="6" spans="1:405" s="29" customFormat="1" ht="16.5" x14ac:dyDescent="0.3">
      <c r="B6" s="181">
        <v>1</v>
      </c>
      <c r="C6" s="182" t="s">
        <v>164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4"/>
      <c r="S6" s="12"/>
      <c r="T6" s="13"/>
      <c r="U6" s="12"/>
      <c r="V6" s="185"/>
      <c r="W6" s="186" t="s">
        <v>23</v>
      </c>
      <c r="X6" s="187"/>
      <c r="Y6" s="188"/>
      <c r="Z6" s="188"/>
      <c r="AA6" s="188"/>
      <c r="AB6" s="18" t="s">
        <v>432</v>
      </c>
      <c r="AC6" s="190"/>
      <c r="AD6" s="13"/>
      <c r="AE6" s="12"/>
      <c r="AF6" s="7"/>
      <c r="AG6" s="191" t="s">
        <v>23</v>
      </c>
      <c r="AK6" s="12"/>
      <c r="AL6" s="13"/>
      <c r="AM6" s="12"/>
      <c r="AN6" s="192">
        <v>1</v>
      </c>
      <c r="AO6" s="193"/>
      <c r="AP6" s="194" t="s">
        <v>164</v>
      </c>
      <c r="AQ6" s="7"/>
      <c r="AR6" s="195"/>
      <c r="CF6" s="196"/>
      <c r="CI6" s="196"/>
      <c r="CK6" s="12"/>
      <c r="CL6" s="13"/>
      <c r="CM6" s="12"/>
      <c r="CN6" s="192">
        <v>1</v>
      </c>
      <c r="CO6" s="961" t="s">
        <v>68</v>
      </c>
      <c r="CP6" s="860">
        <v>236572.53545833335</v>
      </c>
      <c r="CQ6" s="860">
        <v>4629570.149699999</v>
      </c>
      <c r="CR6" s="860">
        <v>525646.00049999997</v>
      </c>
      <c r="CS6" s="801">
        <f>CR6+CQ6</f>
        <v>5155216.1501999991</v>
      </c>
      <c r="CT6" s="859">
        <v>237677.50364015155</v>
      </c>
      <c r="CU6" s="860">
        <v>4660468.5751545439</v>
      </c>
      <c r="CV6" s="860">
        <v>384573.36331075378</v>
      </c>
      <c r="CW6" s="860">
        <f>CV6+CU6</f>
        <v>5045041.9384652972</v>
      </c>
      <c r="CX6" s="198"/>
      <c r="CY6" s="102"/>
      <c r="CZ6" s="12"/>
      <c r="DA6" s="192">
        <v>1</v>
      </c>
      <c r="DB6" s="963" t="s">
        <v>68</v>
      </c>
      <c r="DC6" s="865">
        <v>23822.940000000002</v>
      </c>
      <c r="DD6" s="801">
        <v>516348.01379999996</v>
      </c>
      <c r="DE6" s="865">
        <v>23866.121818181819</v>
      </c>
      <c r="DF6" s="860">
        <v>517223.30925454549</v>
      </c>
      <c r="DG6" s="860">
        <v>517223.30925454543</v>
      </c>
      <c r="DH6" s="12"/>
      <c r="DI6" s="102"/>
      <c r="DJ6" s="12"/>
      <c r="DK6" s="192">
        <v>1</v>
      </c>
      <c r="DL6" s="965" t="s">
        <v>68</v>
      </c>
      <c r="DM6" s="865">
        <v>127677.99850000002</v>
      </c>
      <c r="DN6" s="801">
        <v>3249390.7820000011</v>
      </c>
      <c r="DO6" s="865">
        <v>128425.76850000002</v>
      </c>
      <c r="DP6" s="860">
        <v>3412656.4946437916</v>
      </c>
      <c r="DQ6" s="12"/>
      <c r="DR6" s="13"/>
      <c r="DS6" s="12"/>
      <c r="DT6" s="192">
        <v>1</v>
      </c>
      <c r="DU6" s="870" t="s">
        <v>165</v>
      </c>
      <c r="DV6" s="993">
        <v>247730</v>
      </c>
      <c r="DW6" s="993">
        <v>305038</v>
      </c>
      <c r="DX6" s="993">
        <v>385782</v>
      </c>
      <c r="DY6" s="993">
        <f>SUM(DV6:DX6)</f>
        <v>938550</v>
      </c>
      <c r="DZ6" s="994">
        <v>232452</v>
      </c>
      <c r="EA6" s="993">
        <v>298001</v>
      </c>
      <c r="EB6" s="993">
        <v>352006</v>
      </c>
      <c r="EC6" s="993">
        <v>882459</v>
      </c>
      <c r="ED6" s="12"/>
      <c r="EE6" s="13"/>
      <c r="EF6" s="12"/>
      <c r="EG6" s="192">
        <v>1</v>
      </c>
      <c r="EH6" s="969" t="s">
        <v>166</v>
      </c>
      <c r="EI6" s="860">
        <v>267381.79599999997</v>
      </c>
      <c r="EJ6" s="860">
        <v>305094.33900000004</v>
      </c>
      <c r="EK6" s="860">
        <v>477585.31339999998</v>
      </c>
      <c r="EL6" s="801">
        <f>SUM(EI6:EK6)</f>
        <v>1050061.4484000001</v>
      </c>
      <c r="EM6" s="860">
        <v>266107.47745394724</v>
      </c>
      <c r="EN6" s="860">
        <v>305094.33900000004</v>
      </c>
      <c r="EO6" s="860">
        <v>493023.38309582084</v>
      </c>
      <c r="EP6" s="860">
        <f>SUM(EM6:EO6)</f>
        <v>1064225.1995497681</v>
      </c>
      <c r="EQ6" s="16"/>
      <c r="ER6" s="105"/>
      <c r="ES6" s="12"/>
      <c r="ET6" s="192">
        <v>1</v>
      </c>
      <c r="EU6" s="797" t="s">
        <v>166</v>
      </c>
      <c r="EV6" s="955">
        <v>213239.39</v>
      </c>
      <c r="EW6" s="955">
        <v>162393.25900000002</v>
      </c>
      <c r="EX6" s="955">
        <v>105106.77599999998</v>
      </c>
      <c r="EY6" s="801">
        <f>SUM(EV6:EX6)</f>
        <v>480739.42500000005</v>
      </c>
      <c r="EZ6" s="955">
        <v>202334.10366827415</v>
      </c>
      <c r="FA6" s="955">
        <v>150231.90399999998</v>
      </c>
      <c r="FB6" s="955">
        <v>95627.938710191083</v>
      </c>
      <c r="FC6" s="801">
        <f>SUM(EZ6:FB6)</f>
        <v>448193.94637846516</v>
      </c>
      <c r="FD6" s="860">
        <f t="shared" ref="FD6" si="0">(FC6/$FC$9)*$FD$9</f>
        <v>327363.52898918267</v>
      </c>
      <c r="FE6" s="860">
        <f>(FC6/$FC$9)*$FE$9</f>
        <v>120830.476288431</v>
      </c>
      <c r="FF6" s="860">
        <f>SUM(FD6:FE6)</f>
        <v>448194.00527761364</v>
      </c>
      <c r="FG6" s="16"/>
      <c r="FH6" s="105"/>
      <c r="FI6" s="12"/>
      <c r="FJ6" s="192">
        <v>1</v>
      </c>
      <c r="FK6" s="194" t="s">
        <v>167</v>
      </c>
      <c r="FL6" s="199"/>
      <c r="FM6" s="200"/>
      <c r="FN6" s="200"/>
      <c r="FO6" s="200"/>
      <c r="FP6" s="201"/>
      <c r="FQ6" s="200"/>
      <c r="FR6" s="200"/>
      <c r="FS6" s="200"/>
      <c r="FT6" s="200"/>
      <c r="FU6" s="200"/>
      <c r="FV6" s="16"/>
      <c r="FW6" s="105"/>
      <c r="FX6" s="12"/>
      <c r="FY6" s="192">
        <v>1</v>
      </c>
      <c r="FZ6" s="969" t="s">
        <v>168</v>
      </c>
      <c r="GA6" s="860">
        <v>1200</v>
      </c>
      <c r="GB6" s="860">
        <v>714</v>
      </c>
      <c r="GC6" s="860">
        <v>1423.38</v>
      </c>
      <c r="GD6" s="801">
        <f t="shared" ref="GD6:GD11" si="1">SUM(GA6:GC6)</f>
        <v>3337.38</v>
      </c>
      <c r="GE6" s="860">
        <v>1200</v>
      </c>
      <c r="GF6" s="860">
        <v>714</v>
      </c>
      <c r="GG6" s="860">
        <v>1423.3799999999999</v>
      </c>
      <c r="GH6" s="860">
        <f>SUM(GE6:GG6)</f>
        <v>3337.38</v>
      </c>
      <c r="GI6" s="202"/>
      <c r="GJ6" s="203"/>
      <c r="GK6" s="12"/>
      <c r="GL6" s="192">
        <v>1</v>
      </c>
      <c r="GM6" s="973" t="s">
        <v>169</v>
      </c>
      <c r="GN6" s="883">
        <v>300657604</v>
      </c>
      <c r="GO6" s="883">
        <v>658226366</v>
      </c>
      <c r="GP6" s="883">
        <v>1121690182</v>
      </c>
      <c r="GQ6" s="884">
        <f>SUM(GN6:GP6)</f>
        <v>2080574152</v>
      </c>
      <c r="GR6" s="871">
        <v>301831871.77272731</v>
      </c>
      <c r="GS6" s="871">
        <v>658226366</v>
      </c>
      <c r="GT6" s="871">
        <v>1131472285.5</v>
      </c>
      <c r="GU6" s="871">
        <f>SUM(GR6:GT6)</f>
        <v>2091530523.2727273</v>
      </c>
      <c r="GV6" s="204"/>
      <c r="GW6" s="13"/>
      <c r="GX6" s="12"/>
      <c r="GY6" s="12"/>
      <c r="GZ6" s="192">
        <v>1</v>
      </c>
      <c r="HA6" s="886">
        <v>1</v>
      </c>
      <c r="HB6" s="886">
        <v>10</v>
      </c>
      <c r="HC6" s="886">
        <v>21</v>
      </c>
      <c r="HD6" s="887">
        <v>12516790</v>
      </c>
      <c r="HE6" s="888">
        <v>19384421</v>
      </c>
      <c r="HF6" s="800">
        <f>HC6/HB6</f>
        <v>2.1</v>
      </c>
      <c r="HG6" s="800">
        <f>HE6/HD6</f>
        <v>1.5486735017524462</v>
      </c>
      <c r="HH6" s="802">
        <v>1</v>
      </c>
      <c r="HI6" s="802">
        <v>0</v>
      </c>
      <c r="HJ6" s="802">
        <v>0</v>
      </c>
      <c r="HK6" s="12"/>
      <c r="HL6" s="55"/>
      <c r="HM6" s="12"/>
      <c r="HN6" s="205">
        <v>1</v>
      </c>
      <c r="HO6" s="890">
        <v>1</v>
      </c>
      <c r="HP6" s="799">
        <f t="shared" ref="HP6:HP26" si="2">HG6</f>
        <v>1.5486735017524462</v>
      </c>
      <c r="HQ6" s="860">
        <v>0</v>
      </c>
      <c r="HR6" s="801">
        <f>HP6*HQ6</f>
        <v>0</v>
      </c>
      <c r="HS6" s="860">
        <v>1356976</v>
      </c>
      <c r="HT6" s="975">
        <v>2097249</v>
      </c>
      <c r="HU6" s="860">
        <v>642350.24089999998</v>
      </c>
      <c r="HV6" s="975">
        <v>1039284</v>
      </c>
      <c r="HW6" s="860">
        <v>185450.87522688613</v>
      </c>
      <c r="HX6" s="955">
        <v>287202.85634067771</v>
      </c>
      <c r="HY6" s="860">
        <f>SUM(HQ6,HU6,HW6)</f>
        <v>827801.1161268861</v>
      </c>
      <c r="HZ6" s="860">
        <f>SUM(HR6,HV6,HX6)</f>
        <v>1326486.8563406777</v>
      </c>
      <c r="IA6" s="206"/>
      <c r="IB6" s="207"/>
      <c r="IC6" s="206"/>
      <c r="ID6" s="208">
        <v>1</v>
      </c>
      <c r="IE6" s="892">
        <v>1</v>
      </c>
      <c r="IF6" s="896">
        <f t="shared" ref="IF6:IG25" si="3">HF6</f>
        <v>2.1</v>
      </c>
      <c r="IG6" s="897">
        <f t="shared" si="3"/>
        <v>1.5486735017524462</v>
      </c>
      <c r="IH6" s="955">
        <v>308719.11148731643</v>
      </c>
      <c r="II6" s="801">
        <f>IH6*$IG6</f>
        <v>478105.10744496621</v>
      </c>
      <c r="IJ6" s="955">
        <v>43185.960299999999</v>
      </c>
      <c r="IK6" s="801">
        <f>IJ6*$IG6</f>
        <v>66880.952364343117</v>
      </c>
      <c r="IL6" s="955">
        <v>201334.62821268354</v>
      </c>
      <c r="IM6" s="801">
        <f>IL6*IF6</f>
        <v>422802.71924663545</v>
      </c>
      <c r="IN6" s="955">
        <v>352496.2757114711</v>
      </c>
      <c r="IO6" s="995">
        <v>774819.60972537647</v>
      </c>
      <c r="IP6" s="955">
        <v>53385.492599999976</v>
      </c>
      <c r="IQ6" s="801">
        <f>IP6*$IG6</f>
        <v>82676.69776762127</v>
      </c>
      <c r="IR6" s="955">
        <v>14212.910200000004</v>
      </c>
      <c r="IS6" s="801">
        <f>IR6*$IG6</f>
        <v>22011.157409527066</v>
      </c>
      <c r="IT6" s="955">
        <v>21252.47</v>
      </c>
      <c r="IU6" s="801">
        <f>IT6*$IG6</f>
        <v>32913.137135788813</v>
      </c>
      <c r="IV6" s="955">
        <v>112516.38350000001</v>
      </c>
      <c r="IW6" s="801">
        <f>IV6*$IG6</f>
        <v>174251.14163946616</v>
      </c>
      <c r="IX6" s="860">
        <f>IH6+IJ6+IL6+IN6+IP6+IT6+IV6+IR6</f>
        <v>1107103.2320114712</v>
      </c>
      <c r="IY6" s="860">
        <f>II6+IK6+IM6+IO6+IQ6+IU6+IW6+IS6</f>
        <v>2054460.5227337247</v>
      </c>
      <c r="IZ6" s="898">
        <f t="shared" ref="IZ6:IZ26" si="4">IY6/HE6*100</f>
        <v>10.598513738087533</v>
      </c>
      <c r="JA6" s="12"/>
      <c r="JB6" s="13"/>
      <c r="JC6" s="12"/>
      <c r="JD6" s="192">
        <v>1</v>
      </c>
      <c r="JE6" s="886">
        <v>1</v>
      </c>
      <c r="JF6" s="796">
        <f t="shared" ref="JF6:JF25" si="5">HC6</f>
        <v>21</v>
      </c>
      <c r="JG6" s="977">
        <v>20</v>
      </c>
      <c r="JH6" s="859">
        <f t="shared" ref="JH6:JH25" si="6">HE6</f>
        <v>19384421</v>
      </c>
      <c r="JI6" s="859">
        <f>JH6*$JK$26</f>
        <v>19388652.796383854</v>
      </c>
      <c r="JJ6" s="904">
        <f>JG6/JF6</f>
        <v>0.95238095238095233</v>
      </c>
      <c r="JK6" s="904">
        <f>JI6/JH6</f>
        <v>1.0002183091454655</v>
      </c>
      <c r="JL6" s="904">
        <f>LC7/LB7</f>
        <v>1.0065713694386091</v>
      </c>
      <c r="JM6" s="886" t="s">
        <v>424</v>
      </c>
      <c r="JN6" s="209"/>
      <c r="JO6" s="210"/>
      <c r="JP6" s="209"/>
      <c r="JQ6" s="192">
        <v>1</v>
      </c>
      <c r="JR6" s="886">
        <v>1</v>
      </c>
      <c r="JS6" s="910" t="str">
        <f t="shared" ref="JS6:JS25" si="7">JM6</f>
        <v>Q4</v>
      </c>
      <c r="JT6" s="911">
        <f t="shared" ref="JT6:JT26" si="8">JL6</f>
        <v>1.0065713694386091</v>
      </c>
      <c r="JU6" s="860">
        <f>HR6</f>
        <v>0</v>
      </c>
      <c r="JV6" s="860">
        <f>JU6*JL6</f>
        <v>0</v>
      </c>
      <c r="JW6" s="860">
        <f t="shared" ref="JW6:JW26" si="9">HT6</f>
        <v>2097249</v>
      </c>
      <c r="JX6" s="860">
        <f>HE6/$HE$26*$JX$26</f>
        <v>2139497.6749999309</v>
      </c>
      <c r="JY6" s="860">
        <f t="shared" ref="JY6:JY25" si="10">HV6</f>
        <v>1039284</v>
      </c>
      <c r="JZ6" s="860">
        <f t="shared" ref="JZ6:JZ25" si="11">HE6/$HE$26*$JZ$26</f>
        <v>960297.19616911572</v>
      </c>
      <c r="KA6" s="860">
        <f>HX6</f>
        <v>287202.85634067771</v>
      </c>
      <c r="KB6" s="860">
        <f>HE6/$HE$26*$KB$26</f>
        <v>41962.27567193647</v>
      </c>
      <c r="KC6" s="860">
        <f>SUM(JU6,JY6,KA6)</f>
        <v>1326486.8563406777</v>
      </c>
      <c r="KD6" s="860">
        <f>SUM(JV6,JZ6,KB6)</f>
        <v>1002259.4718410522</v>
      </c>
      <c r="KE6" s="211"/>
      <c r="KF6" s="210"/>
      <c r="KG6" s="209"/>
      <c r="KH6" s="212">
        <v>1</v>
      </c>
      <c r="KI6" s="213"/>
      <c r="KJ6" s="213"/>
      <c r="KK6" s="214" t="s">
        <v>170</v>
      </c>
      <c r="KL6" s="215"/>
      <c r="KM6" s="216">
        <v>1.71293334</v>
      </c>
      <c r="KN6" s="217"/>
      <c r="KO6" s="216">
        <v>1.71293334</v>
      </c>
      <c r="KP6" s="217"/>
      <c r="KQ6" s="216">
        <v>1.71293334</v>
      </c>
      <c r="KR6" s="217"/>
      <c r="KS6" s="216">
        <v>1.71293334</v>
      </c>
      <c r="KT6" s="217"/>
      <c r="KU6" s="216">
        <v>1.71293334</v>
      </c>
      <c r="KV6" s="217"/>
      <c r="KW6" s="216">
        <v>1.71293334</v>
      </c>
      <c r="KX6" s="217"/>
      <c r="KY6" s="216">
        <v>1.71293334</v>
      </c>
      <c r="KZ6" s="217"/>
      <c r="LA6" s="216">
        <v>1.71293334</v>
      </c>
      <c r="LB6" s="215"/>
      <c r="LC6" s="218"/>
      <c r="LD6" s="219"/>
      <c r="LE6" s="220"/>
      <c r="LF6" s="12"/>
      <c r="LG6" s="192">
        <v>1</v>
      </c>
      <c r="LH6" s="921">
        <v>1</v>
      </c>
      <c r="LI6" s="860">
        <f t="shared" ref="LI6:LJ25" si="12">HY6</f>
        <v>827801.1161268861</v>
      </c>
      <c r="LJ6" s="860">
        <f t="shared" si="12"/>
        <v>1326486.8563406777</v>
      </c>
      <c r="LK6" s="801">
        <f t="shared" ref="LK6:LK25" si="13">KD6</f>
        <v>1002259.4718410522</v>
      </c>
      <c r="LL6" s="860">
        <f t="shared" ref="LL6:LM25" si="14">IX6</f>
        <v>1107103.2320114712</v>
      </c>
      <c r="LM6" s="860">
        <f t="shared" si="14"/>
        <v>2054460.5227337247</v>
      </c>
      <c r="LN6" s="801">
        <f>LC7</f>
        <v>2067961.1418256462</v>
      </c>
      <c r="LO6" s="860">
        <f>LI6-LL6</f>
        <v>-279302.11588458507</v>
      </c>
      <c r="LP6" s="860">
        <f>LJ6-LM6</f>
        <v>-727973.66639304697</v>
      </c>
      <c r="LQ6" s="860">
        <f>LK6-LN6</f>
        <v>-1065701.669984594</v>
      </c>
      <c r="LR6" s="12"/>
      <c r="LS6" s="221"/>
      <c r="LT6" s="8"/>
      <c r="LU6" s="192">
        <v>1</v>
      </c>
      <c r="LV6" s="194" t="s">
        <v>171</v>
      </c>
      <c r="LW6" s="181"/>
      <c r="LX6" s="8"/>
      <c r="LY6" s="221"/>
      <c r="LZ6" s="8"/>
      <c r="MA6" s="222" t="s">
        <v>133</v>
      </c>
      <c r="MB6" s="222"/>
      <c r="MC6" s="144" t="s">
        <v>134</v>
      </c>
      <c r="MD6" s="143" t="s">
        <v>135</v>
      </c>
      <c r="ME6" s="143"/>
      <c r="MF6" s="150" t="s">
        <v>136</v>
      </c>
      <c r="MG6" s="143" t="s">
        <v>137</v>
      </c>
      <c r="MH6" s="12"/>
      <c r="MI6" s="221"/>
      <c r="MJ6" s="8"/>
      <c r="MK6" s="222" t="s">
        <v>133</v>
      </c>
      <c r="ML6" s="32"/>
      <c r="MM6" s="18"/>
      <c r="MN6" s="12"/>
      <c r="MO6" s="12"/>
      <c r="MP6" s="12"/>
      <c r="MQ6" s="12"/>
      <c r="MR6" s="221"/>
      <c r="MS6" s="8"/>
    </row>
    <row r="7" spans="1:405" ht="16.5" x14ac:dyDescent="0.3">
      <c r="B7" s="143">
        <f>B6+1</f>
        <v>2</v>
      </c>
      <c r="C7" s="790"/>
      <c r="D7" s="660" t="s">
        <v>164</v>
      </c>
      <c r="E7" s="791"/>
      <c r="F7" s="792">
        <f>GQ7-F10-F11</f>
        <v>336825698.93769997</v>
      </c>
      <c r="G7" s="793">
        <f t="shared" ref="G7:G12" si="15">F7/F$24*100</f>
        <v>16.189074473213005</v>
      </c>
      <c r="H7" s="792">
        <f>GU7-H10-H11</f>
        <v>334169414.28032368</v>
      </c>
      <c r="I7" s="724">
        <f t="shared" ref="I7:I12" si="16">H7/H$24*100</f>
        <v>15.97726691348646</v>
      </c>
      <c r="J7" s="794">
        <f>H7-F7</f>
        <v>-2656284.6573762894</v>
      </c>
      <c r="K7" s="792">
        <f>K8+K9</f>
        <v>366109146</v>
      </c>
      <c r="L7" s="724">
        <f t="shared" ref="L7:L12" si="17">K7/K$24*100</f>
        <v>16.686292465036136</v>
      </c>
      <c r="M7" s="794">
        <f>K7-H7</f>
        <v>31939731.719676316</v>
      </c>
      <c r="N7" s="792">
        <f>N8+N9</f>
        <v>350857568.24663728</v>
      </c>
      <c r="O7" s="724">
        <f t="shared" ref="O7:O12" si="18">N7/N$24*100</f>
        <v>15.987675387880401</v>
      </c>
      <c r="P7" s="794">
        <f>N7-K7</f>
        <v>-15251577.753362715</v>
      </c>
      <c r="Q7" s="792">
        <f>N7-F7</f>
        <v>14031869.308937311</v>
      </c>
      <c r="R7" s="723">
        <f>O7/G7-1</f>
        <v>-1.2440432321554007E-2</v>
      </c>
      <c r="V7" s="165">
        <f>V6+1</f>
        <v>1</v>
      </c>
      <c r="W7" s="805" t="s">
        <v>172</v>
      </c>
      <c r="X7" s="955">
        <v>86537.924694514746</v>
      </c>
      <c r="Y7" s="955">
        <v>3231727.2749500014</v>
      </c>
      <c r="Z7" s="955">
        <v>3840711.9133260008</v>
      </c>
      <c r="AA7" s="1001">
        <f>SUM(X7:Z7)</f>
        <v>7158977.112970517</v>
      </c>
      <c r="AB7" s="18"/>
      <c r="AF7" s="165">
        <v>1</v>
      </c>
      <c r="AG7" s="812" t="s">
        <v>77</v>
      </c>
      <c r="AH7" s="813">
        <f>CP9</f>
        <v>1754646.0788748774</v>
      </c>
      <c r="AI7" s="813">
        <f>DC9</f>
        <v>86327.441190476195</v>
      </c>
      <c r="AJ7" s="682">
        <f>DM9</f>
        <v>567379.8664464287</v>
      </c>
      <c r="AN7" s="222">
        <v>2</v>
      </c>
      <c r="AO7" s="18"/>
      <c r="AQ7" s="660" t="s">
        <v>164</v>
      </c>
      <c r="AR7" s="791"/>
      <c r="AS7" s="821">
        <v>120302111.8284</v>
      </c>
      <c r="AT7" s="822">
        <v>11.731293175407233</v>
      </c>
      <c r="AU7" s="783"/>
      <c r="AV7" s="821">
        <v>126126278.56186666</v>
      </c>
      <c r="AW7" s="822">
        <v>11.687249674641077</v>
      </c>
      <c r="AX7" s="823">
        <f>AW7/AT7-1</f>
        <v>-3.754360248918287E-3</v>
      </c>
      <c r="AY7" s="783"/>
      <c r="AZ7" s="821">
        <v>150728360.25</v>
      </c>
      <c r="BA7" s="822">
        <v>11.683129983994691</v>
      </c>
      <c r="BB7" s="823">
        <f>BA7/AW7-1</f>
        <v>-3.5249445002660806E-4</v>
      </c>
      <c r="BC7" s="783"/>
      <c r="BD7" s="821">
        <v>171227908</v>
      </c>
      <c r="BE7" s="822">
        <v>11.643318740549148</v>
      </c>
      <c r="BF7" s="823">
        <f>BE7/BA7-1</f>
        <v>-3.407583712590978E-3</v>
      </c>
      <c r="BG7" s="783"/>
      <c r="BH7" s="821">
        <v>176109569.11769998</v>
      </c>
      <c r="BI7" s="822">
        <v>11.588889837145976</v>
      </c>
      <c r="BJ7" s="823">
        <f>BI7/BE7-1</f>
        <v>-4.6746898041721829E-3</v>
      </c>
      <c r="BK7" s="783"/>
      <c r="BL7" s="821">
        <v>240705114.20000002</v>
      </c>
      <c r="BM7" s="822">
        <v>14.309535452395124</v>
      </c>
      <c r="BN7" s="823">
        <f>BM7/BI7-1</f>
        <v>0.23476326494438138</v>
      </c>
      <c r="BO7" s="783"/>
      <c r="BP7" s="821">
        <v>290609169.1400001</v>
      </c>
      <c r="BQ7" s="822">
        <v>15.66802926667919</v>
      </c>
      <c r="BR7" s="823">
        <f>BQ7/BM7-1</f>
        <v>9.4936262522532289E-2</v>
      </c>
      <c r="BS7" s="783"/>
      <c r="BT7" s="660">
        <v>313797305.58539999</v>
      </c>
      <c r="BU7" s="660">
        <v>15.993295780429609</v>
      </c>
      <c r="BV7" s="660">
        <f>BU7/BQ7-1</f>
        <v>2.0759886786920534E-2</v>
      </c>
      <c r="BW7" s="237">
        <v>311488574.40979999</v>
      </c>
      <c r="BX7" s="238">
        <v>16.091667659507319</v>
      </c>
      <c r="BY7" s="824">
        <f>BX7/BU7-1</f>
        <v>6.15081972022824E-3</v>
      </c>
      <c r="BZ7" s="824">
        <v>328676461.76159996</v>
      </c>
      <c r="CA7" s="824">
        <v>16.112403825565277</v>
      </c>
      <c r="CB7" s="824">
        <f>CA7/BX7-1</f>
        <v>1.2886275367305355E-3</v>
      </c>
      <c r="CC7" s="956">
        <v>326375296.65850008</v>
      </c>
      <c r="CD7" s="956">
        <v>15.703284067284784</v>
      </c>
      <c r="CE7" s="723">
        <f>CD7/CA7-1</f>
        <v>-2.5391602811701497E-2</v>
      </c>
      <c r="CF7" s="792">
        <f t="shared" ref="CF7:CG10" si="19">F7</f>
        <v>336825698.93769997</v>
      </c>
      <c r="CG7" s="824">
        <f t="shared" si="19"/>
        <v>16.189074473213005</v>
      </c>
      <c r="CH7" s="723">
        <f>CG7/CD7-1</f>
        <v>3.0935593080194224E-2</v>
      </c>
      <c r="CI7" s="825">
        <f>CF7/AS7-1</f>
        <v>1.7998319715131115</v>
      </c>
      <c r="CJ7" s="723">
        <f>(CI7+1)^(1/(2022-2004))-1</f>
        <v>5.886517470646857E-2</v>
      </c>
      <c r="CN7" s="222">
        <v>2</v>
      </c>
      <c r="CO7" s="961" t="s">
        <v>69</v>
      </c>
      <c r="CP7" s="650">
        <v>577097.11378000013</v>
      </c>
      <c r="CQ7" s="650">
        <v>10603705.998900004</v>
      </c>
      <c r="CR7" s="650">
        <v>2118043.7692</v>
      </c>
      <c r="CS7" s="794">
        <f>CR7+CQ7</f>
        <v>12721749.768100005</v>
      </c>
      <c r="CT7" s="861">
        <v>577097.11378000013</v>
      </c>
      <c r="CU7" s="650">
        <v>10603705.998900004</v>
      </c>
      <c r="CV7" s="650">
        <v>1626893.7401080688</v>
      </c>
      <c r="CW7" s="650">
        <f>CV7+CU7</f>
        <v>12230599.739008073</v>
      </c>
      <c r="CX7" s="198"/>
      <c r="CY7" s="20"/>
      <c r="DA7" s="222">
        <v>2</v>
      </c>
      <c r="DB7" s="963" t="s">
        <v>69</v>
      </c>
      <c r="DC7" s="813">
        <v>21303.197499999998</v>
      </c>
      <c r="DD7" s="866">
        <v>484236.19040000002</v>
      </c>
      <c r="DE7" s="813">
        <v>21303.197500000002</v>
      </c>
      <c r="DF7" s="650">
        <v>484236.19040000002</v>
      </c>
      <c r="DG7" s="650">
        <v>484236.19040000002</v>
      </c>
      <c r="DI7" s="20"/>
      <c r="DK7" s="222">
        <v>2</v>
      </c>
      <c r="DL7" s="965" t="s">
        <v>69</v>
      </c>
      <c r="DM7" s="813">
        <v>202091.788</v>
      </c>
      <c r="DN7" s="866">
        <v>5797870.1224999996</v>
      </c>
      <c r="DO7" s="813">
        <v>202091.788</v>
      </c>
      <c r="DP7" s="671">
        <v>6289020.1515919305</v>
      </c>
      <c r="DT7" s="222">
        <v>2</v>
      </c>
      <c r="DU7" s="872" t="s">
        <v>173</v>
      </c>
      <c r="DV7" s="650">
        <v>391984.10000000003</v>
      </c>
      <c r="DW7" s="650">
        <v>338958.95999999996</v>
      </c>
      <c r="DX7" s="650">
        <v>610555.29</v>
      </c>
      <c r="DY7" s="650">
        <v>1341498.3500000001</v>
      </c>
      <c r="DZ7" s="792"/>
      <c r="EA7" s="650"/>
      <c r="EB7" s="650"/>
      <c r="EC7" s="650"/>
      <c r="EG7" s="222">
        <v>2</v>
      </c>
      <c r="EH7" s="969" t="s">
        <v>174</v>
      </c>
      <c r="EI7" s="650">
        <v>57904.114000000001</v>
      </c>
      <c r="EJ7" s="650">
        <v>1239025.2</v>
      </c>
      <c r="EK7" s="650">
        <v>2313306.8732480002</v>
      </c>
      <c r="EL7" s="794">
        <f>SUM(EI7:EK7)</f>
        <v>3610236.1872479999</v>
      </c>
      <c r="EM7" s="650">
        <v>57904.114000000001</v>
      </c>
      <c r="EN7" s="650">
        <v>1239025.2</v>
      </c>
      <c r="EO7" s="650">
        <v>2341399.4332480002</v>
      </c>
      <c r="EP7" s="650">
        <f>SUM(EM7:EO7)</f>
        <v>3638328.7472480005</v>
      </c>
      <c r="EQ7" s="16"/>
      <c r="ER7" s="20"/>
      <c r="ET7" s="222">
        <v>2</v>
      </c>
      <c r="EU7" s="791" t="s">
        <v>174</v>
      </c>
      <c r="EV7" s="955">
        <v>42699.689999999995</v>
      </c>
      <c r="EW7" s="955">
        <v>136024</v>
      </c>
      <c r="EX7" s="955">
        <v>333397.58999999997</v>
      </c>
      <c r="EY7" s="794">
        <f>SUM(EV7:EX7)</f>
        <v>512121.27999999997</v>
      </c>
      <c r="EZ7" s="955">
        <v>38097.634750000005</v>
      </c>
      <c r="FA7" s="955">
        <v>129106.95000000001</v>
      </c>
      <c r="FB7" s="955">
        <v>314929.89600000007</v>
      </c>
      <c r="FC7" s="794">
        <f>SUM(EZ7:FB7)</f>
        <v>482134.4807500001</v>
      </c>
      <c r="FD7" s="650">
        <f>(FC7/$FC$9)*$FD$9</f>
        <v>352153.89752812323</v>
      </c>
      <c r="FE7" s="650">
        <f>(FC7/$FC$9)*$FE$9</f>
        <v>129980.64658130106</v>
      </c>
      <c r="FF7" s="650">
        <f t="shared" ref="FF7:FF9" si="20">SUM(FD7:FE7)</f>
        <v>482134.54410942429</v>
      </c>
      <c r="FG7" s="16"/>
      <c r="FH7" s="20"/>
      <c r="FJ7" s="222">
        <v>2</v>
      </c>
      <c r="FK7" s="242"/>
      <c r="FL7" s="877" t="s">
        <v>175</v>
      </c>
      <c r="FM7" s="650">
        <v>168882.95899999997</v>
      </c>
      <c r="FN7" s="650">
        <v>266037.8</v>
      </c>
      <c r="FO7" s="650">
        <v>517124.14181999996</v>
      </c>
      <c r="FP7" s="794">
        <f t="shared" ref="FP7:FP20" si="21">FM7+FO7+FN7</f>
        <v>952044.90081999986</v>
      </c>
      <c r="FQ7" s="650">
        <v>168947.75899999999</v>
      </c>
      <c r="FR7" s="650">
        <v>266037.8</v>
      </c>
      <c r="FS7" s="650">
        <v>519586.14181999996</v>
      </c>
      <c r="FT7" s="650">
        <v>954571.70081999991</v>
      </c>
      <c r="FU7" s="955">
        <v>954571.70081999991</v>
      </c>
      <c r="FV7" s="202"/>
      <c r="FW7" s="21"/>
      <c r="FY7" s="222">
        <v>2</v>
      </c>
      <c r="FZ7" s="969" t="s">
        <v>176</v>
      </c>
      <c r="GA7" s="650">
        <v>131130.37</v>
      </c>
      <c r="GB7" s="650">
        <v>81469.790000000008</v>
      </c>
      <c r="GC7" s="650">
        <v>174449.45</v>
      </c>
      <c r="GD7" s="794">
        <f t="shared" si="1"/>
        <v>387049.61</v>
      </c>
      <c r="GE7" s="650">
        <v>0</v>
      </c>
      <c r="GF7" s="650">
        <v>0</v>
      </c>
      <c r="GG7" s="650">
        <v>0</v>
      </c>
      <c r="GH7" s="650">
        <v>0</v>
      </c>
      <c r="GI7" s="202"/>
      <c r="GJ7" s="203"/>
      <c r="GL7" s="222">
        <v>2</v>
      </c>
      <c r="GM7" s="974" t="s">
        <v>164</v>
      </c>
      <c r="GN7" s="650">
        <v>49996013.61379452</v>
      </c>
      <c r="GO7" s="650">
        <v>109372423.602</v>
      </c>
      <c r="GP7" s="650">
        <v>183078905.3136</v>
      </c>
      <c r="GQ7" s="794">
        <f>SUM(GN7:GP7)</f>
        <v>342447342.52939451</v>
      </c>
      <c r="GR7" s="650">
        <v>47889922.036118187</v>
      </c>
      <c r="GS7" s="650">
        <v>107608162.42200001</v>
      </c>
      <c r="GT7" s="650">
        <v>183491099.26389998</v>
      </c>
      <c r="GU7" s="650">
        <f>SUM(GR7:GT7)</f>
        <v>338989183.72201818</v>
      </c>
      <c r="GZ7" s="222">
        <v>2</v>
      </c>
      <c r="HA7" s="663">
        <v>2</v>
      </c>
      <c r="HB7" s="663">
        <v>10</v>
      </c>
      <c r="HC7" s="663">
        <v>11</v>
      </c>
      <c r="HD7" s="682">
        <v>16081279.727272727</v>
      </c>
      <c r="HE7" s="682">
        <v>18208871</v>
      </c>
      <c r="HF7" s="724">
        <f t="shared" ref="HF7:HF26" si="22">HC7/HB7</f>
        <v>1.1000000000000001</v>
      </c>
      <c r="HG7" s="724">
        <f t="shared" ref="HG7:HG26" si="23">HE7/HD7</f>
        <v>1.1323023608077054</v>
      </c>
      <c r="HH7" s="723">
        <v>1</v>
      </c>
      <c r="HI7" s="723">
        <v>0</v>
      </c>
      <c r="HJ7" s="723">
        <v>0</v>
      </c>
      <c r="HL7" s="124"/>
      <c r="HN7" s="243">
        <v>2</v>
      </c>
      <c r="HO7" s="891">
        <v>2</v>
      </c>
      <c r="HP7" s="793">
        <f t="shared" si="2"/>
        <v>1.1323023608077054</v>
      </c>
      <c r="HQ7" s="650">
        <v>3119.62</v>
      </c>
      <c r="HR7" s="794">
        <f t="shared" ref="HR7:HR25" si="24">HP7*HQ7</f>
        <v>3532.3530908229336</v>
      </c>
      <c r="HS7" s="650">
        <v>1763065.2727272727</v>
      </c>
      <c r="HT7" s="975">
        <v>1993361</v>
      </c>
      <c r="HU7" s="650">
        <v>826501.34299999999</v>
      </c>
      <c r="HV7" s="975">
        <v>996780</v>
      </c>
      <c r="HW7" s="650">
        <v>224687.71386762871</v>
      </c>
      <c r="HX7" s="955">
        <v>247251.76703576761</v>
      </c>
      <c r="HY7" s="650">
        <f t="shared" ref="HY7:HZ25" si="25">SUM(HQ7,HU7,HW7)</f>
        <v>1054308.6768676287</v>
      </c>
      <c r="HZ7" s="650">
        <f t="shared" si="25"/>
        <v>1247564.1201265906</v>
      </c>
      <c r="IA7" s="206"/>
      <c r="IB7" s="207"/>
      <c r="IC7" s="206"/>
      <c r="ID7" s="244">
        <v>2</v>
      </c>
      <c r="IE7" s="891">
        <v>2</v>
      </c>
      <c r="IF7" s="899">
        <f t="shared" si="3"/>
        <v>1.1000000000000001</v>
      </c>
      <c r="IG7" s="900">
        <f>HG7</f>
        <v>1.1323023608077054</v>
      </c>
      <c r="IH7" s="955">
        <v>404817.96919065242</v>
      </c>
      <c r="II7" s="794">
        <f>IH7*$IG7</f>
        <v>458376.34221195668</v>
      </c>
      <c r="IJ7" s="955">
        <v>29623.045454545456</v>
      </c>
      <c r="IK7" s="794">
        <f t="shared" ref="IK7:IK25" si="26">IJ7*$IG7</f>
        <v>33542.244302495783</v>
      </c>
      <c r="IL7" s="955">
        <v>164524.33080934751</v>
      </c>
      <c r="IM7" s="794">
        <f>IL7*IF7</f>
        <v>180976.76389028228</v>
      </c>
      <c r="IN7" s="955">
        <v>325990.28390059911</v>
      </c>
      <c r="IO7" s="995">
        <v>367613.333148323</v>
      </c>
      <c r="IP7" s="955">
        <v>54401.691454545457</v>
      </c>
      <c r="IQ7" s="794">
        <f t="shared" ref="IQ7:IQ24" si="27">IP7*$IG7</f>
        <v>61599.163665914195</v>
      </c>
      <c r="IR7" s="955">
        <v>32794.422727272722</v>
      </c>
      <c r="IS7" s="794">
        <f t="shared" ref="IS7:IS25" si="28">IR7*$IG7</f>
        <v>37133.20227541677</v>
      </c>
      <c r="IT7" s="955">
        <v>47430.550909090911</v>
      </c>
      <c r="IU7" s="794">
        <f t="shared" ref="IU7:IU25" si="29">IT7*$IG7</f>
        <v>53705.724768773696</v>
      </c>
      <c r="IV7" s="955">
        <v>218873.50455000001</v>
      </c>
      <c r="IW7" s="794">
        <f t="shared" ref="IW7:IW25" si="30">IV7*$IG7</f>
        <v>247830.98592022108</v>
      </c>
      <c r="IX7" s="650">
        <f t="shared" ref="IX7:IY26" si="31">IH7+IJ7+IL7+IN7+IP7+IT7+IV7+IR7</f>
        <v>1278455.7989960536</v>
      </c>
      <c r="IY7" s="650">
        <f t="shared" si="31"/>
        <v>1440777.7601833835</v>
      </c>
      <c r="IZ7" s="683">
        <f t="shared" si="4"/>
        <v>7.9125046258133382</v>
      </c>
      <c r="JD7" s="222">
        <v>2</v>
      </c>
      <c r="JE7" s="663">
        <v>2</v>
      </c>
      <c r="JF7" s="660">
        <f t="shared" si="5"/>
        <v>11</v>
      </c>
      <c r="JG7" s="660">
        <f t="shared" ref="JG7:JG18" si="32">JF7</f>
        <v>11</v>
      </c>
      <c r="JH7" s="905">
        <f t="shared" si="6"/>
        <v>18208871</v>
      </c>
      <c r="JI7" s="905">
        <f>JH7*$JK$26</f>
        <v>18212846.163067903</v>
      </c>
      <c r="JJ7" s="906">
        <f t="shared" ref="JJ7:JJ26" si="33">JG7/JF7</f>
        <v>1</v>
      </c>
      <c r="JK7" s="906">
        <f t="shared" ref="JK7:JK26" si="34">JI7/JH7</f>
        <v>1.0002183091454655</v>
      </c>
      <c r="JL7" s="906">
        <f t="shared" ref="JL7:JL25" si="35">LC8/LB8</f>
        <v>1.0303718329195839</v>
      </c>
      <c r="JM7" s="663" t="s">
        <v>238</v>
      </c>
      <c r="JN7" s="209"/>
      <c r="JO7" s="210"/>
      <c r="JP7" s="209"/>
      <c r="JQ7" s="222">
        <v>2</v>
      </c>
      <c r="JR7" s="663">
        <v>2</v>
      </c>
      <c r="JS7" s="912" t="str">
        <f t="shared" si="7"/>
        <v>Q3</v>
      </c>
      <c r="JT7" s="913">
        <f t="shared" si="8"/>
        <v>1.0303718329195839</v>
      </c>
      <c r="JU7" s="671">
        <f t="shared" ref="JU7:JU25" si="36">HR7</f>
        <v>3532.3530908229336</v>
      </c>
      <c r="JV7" s="671">
        <f t="shared" ref="JV7:JV25" si="37">JU7*JL7</f>
        <v>3639.6371287103834</v>
      </c>
      <c r="JW7" s="671">
        <f t="shared" si="9"/>
        <v>1993361</v>
      </c>
      <c r="JX7" s="671">
        <f t="shared" ref="JX7:JX25" si="38">HE7/$HE$26*$JX$26</f>
        <v>2009749.8485445436</v>
      </c>
      <c r="JY7" s="671">
        <f t="shared" si="10"/>
        <v>996780</v>
      </c>
      <c r="JZ7" s="671">
        <f t="shared" si="11"/>
        <v>902060.87490078364</v>
      </c>
      <c r="KA7" s="671">
        <f t="shared" ref="KA7:KA25" si="39">HX7</f>
        <v>247251.76703576761</v>
      </c>
      <c r="KB7" s="671">
        <f t="shared" ref="KB7:KB25" si="40">HE7/$HE$26*$KB$26</f>
        <v>39417.512887113298</v>
      </c>
      <c r="KC7" s="671">
        <f t="shared" ref="KC7:KD25" si="41">SUM(JU7,JY7,KA7)</f>
        <v>1247564.1201265906</v>
      </c>
      <c r="KD7" s="671">
        <f t="shared" si="41"/>
        <v>945118.0249166073</v>
      </c>
      <c r="KE7" s="211"/>
      <c r="KF7" s="210"/>
      <c r="KG7" s="209"/>
      <c r="KH7" s="245">
        <f>KH6+1</f>
        <v>2</v>
      </c>
      <c r="KI7" s="917">
        <v>1</v>
      </c>
      <c r="KJ7" s="918">
        <f>JJ6</f>
        <v>0.95238095238095233</v>
      </c>
      <c r="KK7" s="918">
        <f>JK6</f>
        <v>1.0002183091454655</v>
      </c>
      <c r="KL7" s="898">
        <v>1.6546666699999999</v>
      </c>
      <c r="KM7" s="801">
        <f>II6*KM$6/KL7*KK7</f>
        <v>495048.93061037868</v>
      </c>
      <c r="KN7" s="898">
        <v>1.6546666699999999</v>
      </c>
      <c r="KO7" s="801">
        <f t="shared" ref="KO7:KO26" si="42">IK6*KO$6/KN7*KK7</f>
        <v>69251.182283140311</v>
      </c>
      <c r="KP7" s="898">
        <v>1.6546666699999999</v>
      </c>
      <c r="KQ7" s="801">
        <f t="shared" ref="KQ7:KQ26" si="43">IM6*KQ$6/KP7*KJ7</f>
        <v>416848.66615704575</v>
      </c>
      <c r="KR7" s="898">
        <v>1.6546666699999999</v>
      </c>
      <c r="KS7" s="801">
        <f>IO6*KS$6/KR7*KJ7</f>
        <v>763908.33389588259</v>
      </c>
      <c r="KT7" s="898">
        <v>1.6546666699999999</v>
      </c>
      <c r="KU7" s="801">
        <f t="shared" ref="KU7:KU26" si="44">IQ6*KU$6/KT7*KK7</f>
        <v>85606.721574229698</v>
      </c>
      <c r="KV7" s="898">
        <v>1.6546666699999999</v>
      </c>
      <c r="KW7" s="801">
        <f t="shared" ref="KW7:KW26" si="45">IS6*KW$6/KV7*KK7</f>
        <v>22791.222614866911</v>
      </c>
      <c r="KX7" s="898">
        <v>1.6546666699999999</v>
      </c>
      <c r="KY7" s="801">
        <f t="shared" ref="KY7:KY26" si="46">IU6*KY$6/KX7*$KK7</f>
        <v>34079.563444070758</v>
      </c>
      <c r="KZ7" s="898">
        <v>1.6546666699999999</v>
      </c>
      <c r="LA7" s="919">
        <f t="shared" ref="LA7:LA26" si="47">IW6*LA$6/KZ7*$KK7</f>
        <v>180426.52124603145</v>
      </c>
      <c r="LB7" s="646">
        <f t="shared" ref="LB7:LB26" si="48">IY6</f>
        <v>2054460.5227337247</v>
      </c>
      <c r="LC7" s="646">
        <f>KM7+KO7+KQ7+KS7+KU7+KY7+LA7+KW7</f>
        <v>2067961.1418256462</v>
      </c>
      <c r="LD7" s="16"/>
      <c r="LE7" s="220"/>
      <c r="LG7" s="222">
        <v>2</v>
      </c>
      <c r="LH7" s="922">
        <v>2</v>
      </c>
      <c r="LI7" s="650">
        <f t="shared" si="12"/>
        <v>1054308.6768676287</v>
      </c>
      <c r="LJ7" s="650">
        <f t="shared" si="12"/>
        <v>1247564.1201265906</v>
      </c>
      <c r="LK7" s="794">
        <f t="shared" si="13"/>
        <v>945118.0249166073</v>
      </c>
      <c r="LL7" s="650">
        <f t="shared" si="14"/>
        <v>1278455.7989960536</v>
      </c>
      <c r="LM7" s="650">
        <f t="shared" si="14"/>
        <v>1440777.7601833835</v>
      </c>
      <c r="LN7" s="794">
        <f t="shared" ref="LN7:LN25" si="49">LC8</f>
        <v>1484536.8215899256</v>
      </c>
      <c r="LO7" s="792">
        <f t="shared" ref="LO7:LQ26" si="50">LI7-LL7</f>
        <v>-224147.12212842493</v>
      </c>
      <c r="LP7" s="650">
        <f t="shared" si="50"/>
        <v>-193213.64005679288</v>
      </c>
      <c r="LQ7" s="650">
        <f t="shared" si="50"/>
        <v>-539418.79667331825</v>
      </c>
      <c r="LS7" s="221"/>
      <c r="LT7" s="8"/>
      <c r="LU7" s="222">
        <f>LU6+1</f>
        <v>2</v>
      </c>
      <c r="LV7" s="812" t="s">
        <v>177</v>
      </c>
      <c r="LW7" s="650">
        <f>'ABDA 3 month Phase I'!MC21</f>
        <v>109897152.51796167</v>
      </c>
      <c r="LX7" s="8"/>
      <c r="LY7" s="221"/>
      <c r="LZ7" s="8"/>
      <c r="MA7" s="192">
        <v>1</v>
      </c>
      <c r="MB7" s="194" t="s">
        <v>164</v>
      </c>
      <c r="MC7" s="197">
        <f>N7</f>
        <v>350857568.24663728</v>
      </c>
      <c r="MD7" s="246">
        <f t="shared" ref="MD7:MD12" si="51">MC7/$MC$34*100</f>
        <v>15.987675387880401</v>
      </c>
      <c r="ME7" s="29"/>
      <c r="MF7" s="247">
        <f>MF8+MF9</f>
        <v>367033366.0444566</v>
      </c>
      <c r="MG7" s="246">
        <f t="shared" ref="MG7:MG12" si="52">MF7/$MG$34*100</f>
        <v>16.724764816003361</v>
      </c>
      <c r="MI7" s="221"/>
      <c r="MJ7" s="8"/>
      <c r="MK7" s="192">
        <v>1</v>
      </c>
      <c r="ML7" s="248" t="str">
        <f t="shared" ref="ML7:ML21" si="53">MB7</f>
        <v>Revenue</v>
      </c>
      <c r="MM7" s="979">
        <v>371540376.1521095</v>
      </c>
      <c r="MN7" s="860">
        <f>MC7</f>
        <v>350857568.24663728</v>
      </c>
      <c r="MO7" s="860">
        <f>MN7-MM7</f>
        <v>-20682807.905472219</v>
      </c>
      <c r="MP7" s="830">
        <f>MO7/MM7</f>
        <v>-5.5667726128921798E-2</v>
      </c>
      <c r="MR7" s="221"/>
      <c r="MS7" s="8"/>
    </row>
    <row r="8" spans="1:405" s="29" customFormat="1" ht="16.5" x14ac:dyDescent="0.3">
      <c r="B8" s="181">
        <f>B7+1</f>
        <v>3</v>
      </c>
      <c r="C8" s="795"/>
      <c r="D8" s="796"/>
      <c r="E8" s="797" t="s">
        <v>178</v>
      </c>
      <c r="F8" s="798">
        <f>GQ8</f>
        <v>231071802</v>
      </c>
      <c r="G8" s="799">
        <f t="shared" si="15"/>
        <v>11.106155566619766</v>
      </c>
      <c r="H8" s="798">
        <f>GU8</f>
        <v>232634365.45454544</v>
      </c>
      <c r="I8" s="800">
        <f t="shared" si="16"/>
        <v>11.122685653687245</v>
      </c>
      <c r="J8" s="801">
        <f t="shared" ref="J8:J22" si="54">H8-F8</f>
        <v>1562563.4545454383</v>
      </c>
      <c r="K8" s="798">
        <f>HT26</f>
        <v>242214042</v>
      </c>
      <c r="L8" s="800">
        <f t="shared" si="17"/>
        <v>11.039479314047364</v>
      </c>
      <c r="M8" s="801">
        <f t="shared" ref="M8:M22" si="55">K8-H8</f>
        <v>9579676.5454545617</v>
      </c>
      <c r="N8" s="798">
        <f>JX26</f>
        <v>242164073.01709902</v>
      </c>
      <c r="O8" s="800">
        <f t="shared" si="18"/>
        <v>11.03479286296243</v>
      </c>
      <c r="P8" s="801">
        <f t="shared" ref="P8:P22" si="56">N8-K8</f>
        <v>-49968.982900977135</v>
      </c>
      <c r="Q8" s="798">
        <f t="shared" ref="Q8:Q22" si="57">N8-F8</f>
        <v>11092271.017099023</v>
      </c>
      <c r="R8" s="802">
        <f t="shared" ref="R8:R22" si="58">O8/G8-1</f>
        <v>-6.4255090998203146E-3</v>
      </c>
      <c r="S8" s="12"/>
      <c r="T8" s="13"/>
      <c r="U8" s="12"/>
      <c r="V8" s="252">
        <f t="shared" ref="V8:V20" si="59">V7+1</f>
        <v>2</v>
      </c>
      <c r="W8" s="806" t="s">
        <v>179</v>
      </c>
      <c r="X8" s="807">
        <f>X7/F$24*100</f>
        <v>4.1593290299856978E-3</v>
      </c>
      <c r="Y8" s="800">
        <f>Y7/F$24*100</f>
        <v>0.15532862752540827</v>
      </c>
      <c r="Z8" s="800">
        <f>Z7/F$24*100</f>
        <v>0.18459865559869751</v>
      </c>
      <c r="AA8" s="800">
        <f>AA7/F$24*100</f>
        <v>0.34408661215409142</v>
      </c>
      <c r="AB8" s="227"/>
      <c r="AC8" s="233"/>
      <c r="AD8" s="13"/>
      <c r="AE8" s="12"/>
      <c r="AF8" s="252">
        <f>AF7+1</f>
        <v>2</v>
      </c>
      <c r="AG8" s="814" t="s">
        <v>180</v>
      </c>
      <c r="AH8" s="815">
        <f>AH7*3600/F$24</f>
        <v>3.0360493894810041</v>
      </c>
      <c r="AI8" s="815">
        <f>AI7*3600/F$24</f>
        <v>0.14937164723832172</v>
      </c>
      <c r="AJ8" s="815">
        <f>AJ7*3600/F$24</f>
        <v>0.98173262281648466</v>
      </c>
      <c r="AK8" s="12"/>
      <c r="AL8" s="13"/>
      <c r="AM8" s="12"/>
      <c r="AN8" s="192">
        <v>3</v>
      </c>
      <c r="AO8" s="254"/>
      <c r="AQ8" s="826" t="s">
        <v>178</v>
      </c>
      <c r="AR8" s="797"/>
      <c r="AS8" s="827">
        <v>79503570.349999994</v>
      </c>
      <c r="AT8" s="828">
        <v>7.7528122997362363</v>
      </c>
      <c r="AU8" s="829"/>
      <c r="AV8" s="827">
        <v>82983136.416666657</v>
      </c>
      <c r="AW8" s="828">
        <v>7.689473162491363</v>
      </c>
      <c r="AX8" s="830">
        <f>AW8/AT8-1</f>
        <v>-8.1698272570107644E-3</v>
      </c>
      <c r="AY8" s="829"/>
      <c r="AZ8" s="827">
        <v>98672863.5</v>
      </c>
      <c r="BA8" s="828">
        <v>7.6482480685877787</v>
      </c>
      <c r="BB8" s="830">
        <f>BA8/AW8-1</f>
        <v>-5.3612377639442599E-3</v>
      </c>
      <c r="BC8" s="829"/>
      <c r="BD8" s="827">
        <v>111397202</v>
      </c>
      <c r="BE8" s="828">
        <v>7.5748932801967008</v>
      </c>
      <c r="BF8" s="830">
        <f>BE8/BA8-1</f>
        <v>-9.5910576818701854E-3</v>
      </c>
      <c r="BG8" s="829"/>
      <c r="BH8" s="827">
        <v>116322907.89166664</v>
      </c>
      <c r="BI8" s="828">
        <v>7.6546287169214136</v>
      </c>
      <c r="BJ8" s="830">
        <f>BI8/BE8-1</f>
        <v>1.0526278559351843E-2</v>
      </c>
      <c r="BK8" s="829"/>
      <c r="BL8" s="827">
        <v>174683793.20000002</v>
      </c>
      <c r="BM8" s="828">
        <v>10.384673130282241</v>
      </c>
      <c r="BN8" s="830">
        <f>BM8/BI8-1</f>
        <v>0.35665275408143038</v>
      </c>
      <c r="BO8" s="829"/>
      <c r="BP8" s="827">
        <v>208646041.65000004</v>
      </c>
      <c r="BQ8" s="828">
        <v>11.249033527135891</v>
      </c>
      <c r="BR8" s="830">
        <f>BQ8/BM8-1</f>
        <v>8.3234242042065976E-2</v>
      </c>
      <c r="BS8" s="829"/>
      <c r="BT8" s="796">
        <v>219246568.60000002</v>
      </c>
      <c r="BU8" s="796">
        <v>11.174331831570692</v>
      </c>
      <c r="BV8" s="796">
        <f>BU8/BQ8-1</f>
        <v>-6.6407212126265991E-3</v>
      </c>
      <c r="BW8" s="258">
        <v>215103150.44999999</v>
      </c>
      <c r="BX8" s="259">
        <v>11.112344701929782</v>
      </c>
      <c r="BY8" s="831">
        <f t="shared" ref="BY8:BY20" si="60">BX8/BU8-1</f>
        <v>-5.5472784033295808E-3</v>
      </c>
      <c r="BZ8" s="831">
        <v>224292117.40000001</v>
      </c>
      <c r="CA8" s="831">
        <v>10.99526613822796</v>
      </c>
      <c r="CB8" s="831">
        <f t="shared" ref="CB8:CB20" si="61">CA8/BX8-1</f>
        <v>-1.0535901003996928E-2</v>
      </c>
      <c r="CC8" s="956">
        <v>228950330.75</v>
      </c>
      <c r="CD8" s="956">
        <v>11.015760438596976</v>
      </c>
      <c r="CE8" s="802">
        <f t="shared" ref="CE8:CE11" si="62">CD8/CA8-1</f>
        <v>1.8639203554848827E-3</v>
      </c>
      <c r="CF8" s="798">
        <f t="shared" si="19"/>
        <v>231071802</v>
      </c>
      <c r="CG8" s="831">
        <f t="shared" si="19"/>
        <v>11.106155566619766</v>
      </c>
      <c r="CH8" s="802">
        <f>CG8/CD8-1</f>
        <v>8.2059816502602079E-3</v>
      </c>
      <c r="CI8" s="832">
        <f t="shared" ref="CI8:CI19" si="63">CF8/AS8-1</f>
        <v>1.9064330190801302</v>
      </c>
      <c r="CJ8" s="802">
        <f>(CI8+1)^(1/(2022-2004))-1</f>
        <v>6.1065612459339613E-2</v>
      </c>
      <c r="CK8" s="12"/>
      <c r="CL8" s="13"/>
      <c r="CM8" s="12"/>
      <c r="CN8" s="263">
        <v>3</v>
      </c>
      <c r="CO8" s="962" t="s">
        <v>70</v>
      </c>
      <c r="CP8" s="863">
        <v>940976.42963654397</v>
      </c>
      <c r="CQ8" s="863">
        <v>17441604.080599997</v>
      </c>
      <c r="CR8" s="863">
        <v>2682727.8284999998</v>
      </c>
      <c r="CS8" s="864">
        <f>CR8+CQ8</f>
        <v>20124331.909099996</v>
      </c>
      <c r="CT8" s="862">
        <v>947926.42963654408</v>
      </c>
      <c r="CU8" s="863">
        <v>17578043.740599997</v>
      </c>
      <c r="CV8" s="863">
        <v>1959514.4296093306</v>
      </c>
      <c r="CW8" s="863">
        <f>CV8+CU8</f>
        <v>19537558.17020933</v>
      </c>
      <c r="CX8" s="198"/>
      <c r="CY8" s="20"/>
      <c r="CZ8" s="12"/>
      <c r="DA8" s="263">
        <v>3</v>
      </c>
      <c r="DB8" s="964" t="s">
        <v>70</v>
      </c>
      <c r="DC8" s="867">
        <v>41201.303690476198</v>
      </c>
      <c r="DD8" s="864">
        <v>804382.34765000001</v>
      </c>
      <c r="DE8" s="867">
        <v>41201.30369047619</v>
      </c>
      <c r="DF8" s="863">
        <v>804382.34764999989</v>
      </c>
      <c r="DG8" s="863">
        <v>804382.34765000001</v>
      </c>
      <c r="DH8" s="12"/>
      <c r="DI8" s="20"/>
      <c r="DJ8" s="12"/>
      <c r="DK8" s="263">
        <v>3</v>
      </c>
      <c r="DL8" s="966" t="s">
        <v>70</v>
      </c>
      <c r="DM8" s="867">
        <v>237610.0799464286</v>
      </c>
      <c r="DN8" s="864">
        <v>7476293.3502500001</v>
      </c>
      <c r="DO8" s="867">
        <v>239547.0799464286</v>
      </c>
      <c r="DP8" s="863">
        <v>8260756.9691406693</v>
      </c>
      <c r="DQ8" s="12"/>
      <c r="DR8" s="13"/>
      <c r="DS8" s="12"/>
      <c r="DT8" s="192">
        <v>3</v>
      </c>
      <c r="DU8" s="873" t="s">
        <v>181</v>
      </c>
      <c r="DV8" s="860">
        <v>2850509.1129999999</v>
      </c>
      <c r="DW8" s="860">
        <v>5975213.4032000005</v>
      </c>
      <c r="DX8" s="860">
        <v>12662919</v>
      </c>
      <c r="DY8" s="860">
        <v>21488641.516199999</v>
      </c>
      <c r="DZ8" s="798"/>
      <c r="EA8" s="860"/>
      <c r="EB8" s="860"/>
      <c r="EC8" s="860"/>
      <c r="ED8" s="18"/>
      <c r="EE8" s="264"/>
      <c r="EF8" s="18"/>
      <c r="EG8" s="263">
        <v>3</v>
      </c>
      <c r="EH8" s="970" t="s">
        <v>182</v>
      </c>
      <c r="EI8" s="860">
        <v>125804.27599999998</v>
      </c>
      <c r="EJ8" s="860">
        <v>273710.98</v>
      </c>
      <c r="EK8" s="860">
        <v>840589.31451599998</v>
      </c>
      <c r="EL8" s="801">
        <f>SUM(EI8:EK8)</f>
        <v>1240104.570516</v>
      </c>
      <c r="EM8" s="860">
        <v>125804.27599999998</v>
      </c>
      <c r="EN8" s="860">
        <v>273710.98</v>
      </c>
      <c r="EO8" s="860">
        <v>840589.31451599998</v>
      </c>
      <c r="EP8" s="860">
        <f>SUM(EM8:EO8)</f>
        <v>1240104.570516</v>
      </c>
      <c r="EQ8" s="16"/>
      <c r="ER8" s="20"/>
      <c r="ES8" s="12"/>
      <c r="ET8" s="263">
        <v>3</v>
      </c>
      <c r="EU8" s="876" t="s">
        <v>182</v>
      </c>
      <c r="EV8" s="955">
        <v>971516.0340000001</v>
      </c>
      <c r="EW8" s="955">
        <v>854178.56000000017</v>
      </c>
      <c r="EX8" s="955">
        <v>978091.87800000014</v>
      </c>
      <c r="EY8" s="801">
        <f>SUM(EV8:EX8)</f>
        <v>2803786.4720000005</v>
      </c>
      <c r="EZ8" s="955">
        <v>924269.45366363646</v>
      </c>
      <c r="FA8" s="955">
        <v>811720.19961666677</v>
      </c>
      <c r="FB8" s="955">
        <v>956101.68350000028</v>
      </c>
      <c r="FC8" s="801">
        <f>SUM(EZ8:FB8)</f>
        <v>2692091.3367803036</v>
      </c>
      <c r="FD8" s="860">
        <f>(FC8/$FC$9)*$FD$9</f>
        <v>1966319.5531548369</v>
      </c>
      <c r="FE8" s="860">
        <f>(FC8/$FC$9)*$FE$9</f>
        <v>725772.13740509457</v>
      </c>
      <c r="FF8" s="860">
        <f t="shared" si="20"/>
        <v>2692091.6905599316</v>
      </c>
      <c r="FG8" s="16"/>
      <c r="FH8" s="20"/>
      <c r="FI8" s="12"/>
      <c r="FJ8" s="192">
        <f>FJ7+1</f>
        <v>3</v>
      </c>
      <c r="FK8" s="265"/>
      <c r="FL8" s="878" t="s">
        <v>183</v>
      </c>
      <c r="FM8" s="860">
        <v>188892.37299999996</v>
      </c>
      <c r="FN8" s="860">
        <v>275252.03999999998</v>
      </c>
      <c r="FO8" s="860">
        <v>460452.28275999997</v>
      </c>
      <c r="FP8" s="801">
        <f t="shared" si="21"/>
        <v>924596.69576000003</v>
      </c>
      <c r="FQ8" s="860">
        <v>189243.32754545452</v>
      </c>
      <c r="FR8" s="860">
        <v>275252.03999999998</v>
      </c>
      <c r="FS8" s="860">
        <v>462708.78275999997</v>
      </c>
      <c r="FT8" s="860">
        <v>927204.15030545439</v>
      </c>
      <c r="FU8" s="955">
        <v>927204.15030545439</v>
      </c>
      <c r="FV8" s="16"/>
      <c r="FW8" s="266"/>
      <c r="FX8" s="12"/>
      <c r="FY8" s="192">
        <v>3</v>
      </c>
      <c r="FZ8" s="969" t="s">
        <v>184</v>
      </c>
      <c r="GA8" s="860">
        <v>0</v>
      </c>
      <c r="GB8" s="860">
        <v>1585.69</v>
      </c>
      <c r="GC8" s="860">
        <v>4560.8500000000004</v>
      </c>
      <c r="GD8" s="801">
        <f t="shared" si="1"/>
        <v>6146.5400000000009</v>
      </c>
      <c r="GE8" s="860">
        <v>0</v>
      </c>
      <c r="GF8" s="860">
        <v>1585.69</v>
      </c>
      <c r="GG8" s="860">
        <v>4560.8499999999995</v>
      </c>
      <c r="GH8" s="860">
        <f>SUM(GE8:GG8)</f>
        <v>6146.5399999999991</v>
      </c>
      <c r="GI8" s="202"/>
      <c r="GJ8" s="203"/>
      <c r="GK8" s="12"/>
      <c r="GL8" s="192">
        <v>3</v>
      </c>
      <c r="GM8" s="974" t="s">
        <v>185</v>
      </c>
      <c r="GN8" s="860">
        <v>32659360</v>
      </c>
      <c r="GO8" s="860">
        <v>73143841</v>
      </c>
      <c r="GP8" s="860">
        <v>125268601</v>
      </c>
      <c r="GQ8" s="801">
        <f>SUM(GN8:GP8)</f>
        <v>231071802</v>
      </c>
      <c r="GR8" s="860">
        <v>32785892.454545457</v>
      </c>
      <c r="GS8" s="860">
        <v>73143841</v>
      </c>
      <c r="GT8" s="860">
        <v>126704632</v>
      </c>
      <c r="GU8" s="860">
        <f>SUM(GR8:GT8)</f>
        <v>232634365.45454544</v>
      </c>
      <c r="GV8" s="12"/>
      <c r="GW8" s="13"/>
      <c r="GX8" s="12"/>
      <c r="GY8" s="12"/>
      <c r="GZ8" s="192">
        <v>3</v>
      </c>
      <c r="HA8" s="886">
        <v>3</v>
      </c>
      <c r="HB8" s="886">
        <v>10</v>
      </c>
      <c r="HC8" s="886">
        <v>12</v>
      </c>
      <c r="HD8" s="887">
        <v>20344988.5</v>
      </c>
      <c r="HE8" s="887">
        <v>32658783</v>
      </c>
      <c r="HF8" s="800">
        <f t="shared" si="22"/>
        <v>1.2</v>
      </c>
      <c r="HG8" s="800">
        <f t="shared" si="23"/>
        <v>1.6052495188188483</v>
      </c>
      <c r="HH8" s="802">
        <v>0.91666666666666663</v>
      </c>
      <c r="HI8" s="802">
        <v>8.3333333333333329E-2</v>
      </c>
      <c r="HJ8" s="802">
        <v>0</v>
      </c>
      <c r="HK8" s="12"/>
      <c r="HL8" s="13"/>
      <c r="HM8" s="12"/>
      <c r="HN8" s="267">
        <v>3</v>
      </c>
      <c r="HO8" s="892">
        <v>3</v>
      </c>
      <c r="HP8" s="799">
        <f t="shared" si="2"/>
        <v>1.6052495188188483</v>
      </c>
      <c r="HQ8" s="860">
        <v>1380.25</v>
      </c>
      <c r="HR8" s="801">
        <f t="shared" si="24"/>
        <v>2215.6456483497154</v>
      </c>
      <c r="HS8" s="860">
        <v>3040578</v>
      </c>
      <c r="HT8" s="975">
        <v>3540202</v>
      </c>
      <c r="HU8" s="860">
        <v>1529821.8165000002</v>
      </c>
      <c r="HV8" s="975">
        <v>1806306</v>
      </c>
      <c r="HW8" s="860">
        <v>225000</v>
      </c>
      <c r="HX8" s="955">
        <v>270000</v>
      </c>
      <c r="HY8" s="860">
        <f t="shared" si="25"/>
        <v>1756202.0665000002</v>
      </c>
      <c r="HZ8" s="860">
        <f t="shared" si="25"/>
        <v>2078521.6456483498</v>
      </c>
      <c r="IA8" s="206"/>
      <c r="IB8" s="207"/>
      <c r="IC8" s="206"/>
      <c r="ID8" s="208">
        <v>3</v>
      </c>
      <c r="IE8" s="892">
        <v>3</v>
      </c>
      <c r="IF8" s="896">
        <f t="shared" si="3"/>
        <v>1.2</v>
      </c>
      <c r="IG8" s="897">
        <f t="shared" si="3"/>
        <v>1.6052495188188483</v>
      </c>
      <c r="IH8" s="955">
        <v>577305.36855060607</v>
      </c>
      <c r="II8" s="801">
        <f t="shared" ref="II8:II25" si="64">IH8*$IG8</f>
        <v>926719.1650773983</v>
      </c>
      <c r="IJ8" s="955">
        <v>32067.097500000003</v>
      </c>
      <c r="IK8" s="801">
        <f>IJ8*$IG8</f>
        <v>51475.692831792097</v>
      </c>
      <c r="IL8" s="955">
        <v>345698.17394939391</v>
      </c>
      <c r="IM8" s="801">
        <f>IL8*IF8</f>
        <v>414837.8087392727</v>
      </c>
      <c r="IN8" s="955">
        <v>450099.62629260041</v>
      </c>
      <c r="IO8" s="995">
        <v>568283.17533084238</v>
      </c>
      <c r="IP8" s="955">
        <v>59748.991000000009</v>
      </c>
      <c r="IQ8" s="801">
        <f t="shared" si="27"/>
        <v>95912.039052661712</v>
      </c>
      <c r="IR8" s="955">
        <v>52762.979000000007</v>
      </c>
      <c r="IS8" s="801">
        <f t="shared" si="28"/>
        <v>84697.746651199006</v>
      </c>
      <c r="IT8" s="955">
        <v>8488.5190000000002</v>
      </c>
      <c r="IU8" s="801">
        <f t="shared" si="29"/>
        <v>13626.191040234651</v>
      </c>
      <c r="IV8" s="955">
        <v>172420.86052500003</v>
      </c>
      <c r="IW8" s="801">
        <f t="shared" si="30"/>
        <v>276778.50339208805</v>
      </c>
      <c r="IX8" s="860">
        <f t="shared" si="31"/>
        <v>1698591.6158176006</v>
      </c>
      <c r="IY8" s="860">
        <f t="shared" si="31"/>
        <v>2432330.3221154893</v>
      </c>
      <c r="IZ8" s="898">
        <f t="shared" si="4"/>
        <v>7.4477065545139549</v>
      </c>
      <c r="JA8" s="12"/>
      <c r="JB8" s="13"/>
      <c r="JC8" s="12"/>
      <c r="JD8" s="192">
        <v>3</v>
      </c>
      <c r="JE8" s="886">
        <v>3</v>
      </c>
      <c r="JF8" s="796">
        <f t="shared" si="5"/>
        <v>12</v>
      </c>
      <c r="JG8" s="977">
        <v>11</v>
      </c>
      <c r="JH8" s="859">
        <f t="shared" si="6"/>
        <v>32658783</v>
      </c>
      <c r="JI8" s="859">
        <f>JH8*$JK$26</f>
        <v>32665912.711008672</v>
      </c>
      <c r="JJ8" s="904">
        <f t="shared" si="33"/>
        <v>0.91666666666666663</v>
      </c>
      <c r="JK8" s="904">
        <f t="shared" si="34"/>
        <v>1.0002183091454655</v>
      </c>
      <c r="JL8" s="904">
        <f t="shared" si="35"/>
        <v>1.0004797031662513</v>
      </c>
      <c r="JM8" s="886" t="s">
        <v>424</v>
      </c>
      <c r="JN8" s="209"/>
      <c r="JO8" s="210"/>
      <c r="JP8" s="209"/>
      <c r="JQ8" s="192">
        <v>3</v>
      </c>
      <c r="JR8" s="886">
        <v>3</v>
      </c>
      <c r="JS8" s="910" t="str">
        <f t="shared" si="7"/>
        <v>Q4</v>
      </c>
      <c r="JT8" s="911">
        <f t="shared" si="8"/>
        <v>1.0004797031662513</v>
      </c>
      <c r="JU8" s="860">
        <f t="shared" si="36"/>
        <v>2215.6456483497154</v>
      </c>
      <c r="JV8" s="860">
        <f t="shared" si="37"/>
        <v>2216.7085005825197</v>
      </c>
      <c r="JW8" s="860">
        <f t="shared" si="9"/>
        <v>3540202</v>
      </c>
      <c r="JX8" s="860">
        <f t="shared" si="38"/>
        <v>3604615.804455922</v>
      </c>
      <c r="JY8" s="860">
        <f t="shared" si="10"/>
        <v>1806306</v>
      </c>
      <c r="JZ8" s="860">
        <f t="shared" si="11"/>
        <v>1617904.2822685074</v>
      </c>
      <c r="KA8" s="860">
        <f t="shared" si="39"/>
        <v>270000</v>
      </c>
      <c r="KB8" s="860">
        <f t="shared" si="40"/>
        <v>70697.848305912907</v>
      </c>
      <c r="KC8" s="860">
        <f t="shared" si="41"/>
        <v>2078521.6456483498</v>
      </c>
      <c r="KD8" s="860">
        <f t="shared" si="41"/>
        <v>1690818.8390750028</v>
      </c>
      <c r="KE8" s="211"/>
      <c r="KF8" s="210"/>
      <c r="KG8" s="209"/>
      <c r="KH8" s="243">
        <f t="shared" ref="KH8:KH28" si="65">KH7+1</f>
        <v>3</v>
      </c>
      <c r="KI8" s="891">
        <v>2</v>
      </c>
      <c r="KJ8" s="920">
        <f t="shared" ref="KJ8:KK27" si="66">JJ7</f>
        <v>1</v>
      </c>
      <c r="KK8" s="920">
        <f t="shared" si="66"/>
        <v>1.0002183091454655</v>
      </c>
      <c r="KL8" s="683">
        <v>1.6626666699999999</v>
      </c>
      <c r="KM8" s="794">
        <f t="shared" ref="KM8:KM26" si="67">II7*KM$6/KL8*JK7</f>
        <v>472337.32557060348</v>
      </c>
      <c r="KN8" s="683">
        <v>1.6626666699999999</v>
      </c>
      <c r="KO8" s="794">
        <f t="shared" si="42"/>
        <v>34563.856177705245</v>
      </c>
      <c r="KP8" s="683">
        <v>1.6626666699999999</v>
      </c>
      <c r="KQ8" s="794">
        <f t="shared" si="43"/>
        <v>186448.15477835533</v>
      </c>
      <c r="KR8" s="683">
        <v>1.6626666699999999</v>
      </c>
      <c r="KS8" s="794">
        <f t="shared" ref="KS8:KS26" si="68">IO7*KS$6/KR8*KJ8</f>
        <v>378727.2253303121</v>
      </c>
      <c r="KT8" s="683">
        <v>1.6626666699999999</v>
      </c>
      <c r="KU8" s="794">
        <f t="shared" si="44"/>
        <v>63475.318300545681</v>
      </c>
      <c r="KV8" s="683">
        <v>1.6626666699999999</v>
      </c>
      <c r="KW8" s="794">
        <f t="shared" si="45"/>
        <v>38264.185642749108</v>
      </c>
      <c r="KX8" s="683">
        <v>1.6626666699999999</v>
      </c>
      <c r="KY8" s="794">
        <f t="shared" si="46"/>
        <v>55341.465230732814</v>
      </c>
      <c r="KZ8" s="683">
        <v>1.6626666699999999</v>
      </c>
      <c r="LA8" s="794">
        <f t="shared" si="47"/>
        <v>255379.29055892193</v>
      </c>
      <c r="LB8" s="650">
        <f t="shared" si="48"/>
        <v>1440777.7601833835</v>
      </c>
      <c r="LC8" s="650">
        <f>KM8+KO8+KQ8+KS8+KU8+KY8+LA8+KW8</f>
        <v>1484536.8215899256</v>
      </c>
      <c r="LD8" s="16"/>
      <c r="LE8" s="220"/>
      <c r="LF8" s="12"/>
      <c r="LG8" s="192">
        <v>3</v>
      </c>
      <c r="LH8" s="921">
        <v>3</v>
      </c>
      <c r="LI8" s="860">
        <f t="shared" si="12"/>
        <v>1756202.0665000002</v>
      </c>
      <c r="LJ8" s="860">
        <f t="shared" si="12"/>
        <v>2078521.6456483498</v>
      </c>
      <c r="LK8" s="801">
        <f t="shared" si="13"/>
        <v>1690818.8390750028</v>
      </c>
      <c r="LL8" s="860">
        <f t="shared" si="14"/>
        <v>1698591.6158176006</v>
      </c>
      <c r="LM8" s="860">
        <f t="shared" si="14"/>
        <v>2432330.3221154893</v>
      </c>
      <c r="LN8" s="801">
        <f t="shared" si="49"/>
        <v>2433497.118672377</v>
      </c>
      <c r="LO8" s="860">
        <f t="shared" si="50"/>
        <v>57610.450682399562</v>
      </c>
      <c r="LP8" s="860">
        <f t="shared" si="50"/>
        <v>-353808.67646713951</v>
      </c>
      <c r="LQ8" s="860">
        <f t="shared" si="50"/>
        <v>-742678.27959737414</v>
      </c>
      <c r="LR8" s="12"/>
      <c r="LS8" s="13"/>
      <c r="LT8" s="12"/>
      <c r="LU8" s="192">
        <f t="shared" ref="LU8:LU13" si="69">LU7+1</f>
        <v>3</v>
      </c>
      <c r="LV8" s="923" t="s">
        <v>42</v>
      </c>
      <c r="LW8" s="924">
        <f>'ABDA 3 month Phase I'!MC8</f>
        <v>242164073.01709902</v>
      </c>
      <c r="LX8" s="12"/>
      <c r="LY8" s="13"/>
      <c r="LZ8" s="12"/>
      <c r="MA8" s="222">
        <f>MA7+1</f>
        <v>2</v>
      </c>
      <c r="MB8" s="812" t="s">
        <v>178</v>
      </c>
      <c r="MC8" s="650">
        <f>N8</f>
        <v>242164073.01709902</v>
      </c>
      <c r="MD8" s="747">
        <f t="shared" si="51"/>
        <v>11.03479286296243</v>
      </c>
      <c r="ME8" s="660"/>
      <c r="MF8" s="792">
        <f>MC8</f>
        <v>242164073.01709902</v>
      </c>
      <c r="MG8" s="747">
        <f t="shared" si="52"/>
        <v>11.03479286296243</v>
      </c>
      <c r="MH8" s="12"/>
      <c r="MI8" s="13"/>
      <c r="MJ8" s="12"/>
      <c r="MK8" s="222">
        <f>MK7+1</f>
        <v>2</v>
      </c>
      <c r="ML8" s="812" t="str">
        <f t="shared" si="53"/>
        <v>Less Purchases</v>
      </c>
      <c r="MM8" s="979">
        <v>239866309.41368827</v>
      </c>
      <c r="MN8" s="650">
        <f>MC8</f>
        <v>242164073.01709902</v>
      </c>
      <c r="MO8" s="650">
        <f t="shared" ref="MO8:MO32" si="70">MN8-MM8</f>
        <v>2297763.6034107506</v>
      </c>
      <c r="MP8" s="723">
        <f t="shared" ref="MP8:MP31" si="71">MO8/MM8</f>
        <v>9.5793511353354979E-3</v>
      </c>
      <c r="MQ8" s="12"/>
      <c r="MR8" s="13"/>
      <c r="MS8" s="12"/>
    </row>
    <row r="9" spans="1:405" ht="17.25" thickBot="1" x14ac:dyDescent="0.35">
      <c r="B9" s="143">
        <f t="shared" ref="B9:B22" si="72">B8+1</f>
        <v>4</v>
      </c>
      <c r="C9" s="790"/>
      <c r="D9" s="660" t="s">
        <v>186</v>
      </c>
      <c r="E9" s="791"/>
      <c r="F9" s="792">
        <f>F7-F8</f>
        <v>105753896.93769997</v>
      </c>
      <c r="G9" s="793">
        <f t="shared" si="15"/>
        <v>5.0829189065932399</v>
      </c>
      <c r="H9" s="792">
        <f>H7-H8</f>
        <v>101535048.82577825</v>
      </c>
      <c r="I9" s="724">
        <f t="shared" si="16"/>
        <v>4.8545812597992137</v>
      </c>
      <c r="J9" s="794">
        <f t="shared" si="54"/>
        <v>-4218848.1119217277</v>
      </c>
      <c r="K9" s="792">
        <f>HV26</f>
        <v>123895104</v>
      </c>
      <c r="L9" s="724">
        <f t="shared" si="17"/>
        <v>5.6468131509887716</v>
      </c>
      <c r="M9" s="794">
        <f t="shared" si="55"/>
        <v>22360055.174221754</v>
      </c>
      <c r="N9" s="792">
        <f>JZ26</f>
        <v>108693495.22953826</v>
      </c>
      <c r="O9" s="724">
        <f t="shared" si="18"/>
        <v>4.952882524917972</v>
      </c>
      <c r="P9" s="794">
        <f t="shared" si="56"/>
        <v>-15201608.770461738</v>
      </c>
      <c r="Q9" s="792">
        <f t="shared" si="57"/>
        <v>2939598.2918382883</v>
      </c>
      <c r="R9" s="723">
        <f>O9/G9-1</f>
        <v>-2.5583013238041796E-2</v>
      </c>
      <c r="V9" s="185"/>
      <c r="W9" s="186" t="s">
        <v>24</v>
      </c>
      <c r="X9" s="269"/>
      <c r="Y9" s="270"/>
      <c r="Z9" s="270"/>
      <c r="AA9" s="270"/>
      <c r="AB9" s="189"/>
      <c r="AC9" s="234"/>
      <c r="AF9" s="271">
        <f t="shared" ref="AF9:AF21" si="73">AF8+1</f>
        <v>3</v>
      </c>
      <c r="AG9" s="816" t="s">
        <v>187</v>
      </c>
      <c r="AH9" s="817">
        <f>F14/AH7</f>
        <v>21.657528709018845</v>
      </c>
      <c r="AI9" s="817">
        <f>F15/AI7</f>
        <v>20.908375447703264</v>
      </c>
      <c r="AJ9" s="817">
        <f>F16/AJ7</f>
        <v>29.122560090542329</v>
      </c>
      <c r="AL9" s="273"/>
      <c r="AN9" s="222">
        <v>4</v>
      </c>
      <c r="AO9" s="18"/>
      <c r="AQ9" s="660" t="s">
        <v>188</v>
      </c>
      <c r="AR9" s="791"/>
      <c r="AS9" s="821">
        <v>40798541.478400007</v>
      </c>
      <c r="AT9" s="822">
        <v>3.9784808756709964</v>
      </c>
      <c r="AU9" s="783"/>
      <c r="AV9" s="821">
        <v>43143142.145199999</v>
      </c>
      <c r="AW9" s="822">
        <v>3.9977765121497129</v>
      </c>
      <c r="AX9" s="823">
        <f>AW9/AT9-1</f>
        <v>4.8500010636502999E-3</v>
      </c>
      <c r="AY9" s="783"/>
      <c r="AZ9" s="821">
        <v>52055496.75</v>
      </c>
      <c r="BA9" s="822">
        <v>4.0348819154069133</v>
      </c>
      <c r="BB9" s="823">
        <f>BA9/AW9-1</f>
        <v>9.2815101455603344E-3</v>
      </c>
      <c r="BC9" s="783"/>
      <c r="BD9" s="821">
        <v>59830706</v>
      </c>
      <c r="BE9" s="822">
        <v>4.0684254603524463</v>
      </c>
      <c r="BF9" s="823">
        <f>BE9/BA9-1</f>
        <v>8.313389499070345E-3</v>
      </c>
      <c r="BG9" s="783"/>
      <c r="BH9" s="821">
        <v>59786661.226033345</v>
      </c>
      <c r="BI9" s="822">
        <v>3.9342611202245616</v>
      </c>
      <c r="BJ9" s="823">
        <f>BI9/BE9-1</f>
        <v>-3.2976968961417885E-2</v>
      </c>
      <c r="BK9" s="783"/>
      <c r="BL9" s="821">
        <v>66021321</v>
      </c>
      <c r="BM9" s="822">
        <v>3.9248623221128827</v>
      </c>
      <c r="BN9" s="823">
        <f>BM9/BI9-1</f>
        <v>-2.3889614401452208E-3</v>
      </c>
      <c r="BO9" s="783"/>
      <c r="BP9" s="821">
        <v>81963127.490000069</v>
      </c>
      <c r="BQ9" s="822">
        <v>4.4189957395433002</v>
      </c>
      <c r="BR9" s="823">
        <f>BQ9/BM9-1</f>
        <v>0.12589828046870433</v>
      </c>
      <c r="BS9" s="783"/>
      <c r="BT9" s="660">
        <v>94550736.985399961</v>
      </c>
      <c r="BU9" s="660">
        <v>4.8189639488589151</v>
      </c>
      <c r="BV9" s="660">
        <f>BU9/BQ9-1</f>
        <v>9.0511109964761305E-2</v>
      </c>
      <c r="BW9" s="237">
        <v>96385423.959800005</v>
      </c>
      <c r="BX9" s="238">
        <v>4.9793229575775362</v>
      </c>
      <c r="BY9" s="824">
        <f t="shared" si="60"/>
        <v>3.3276656646620495E-2</v>
      </c>
      <c r="BZ9" s="824">
        <v>104384344.36159995</v>
      </c>
      <c r="CA9" s="824">
        <v>5.1171376873373191</v>
      </c>
      <c r="CB9" s="824">
        <f t="shared" si="61"/>
        <v>2.7677403320476746E-2</v>
      </c>
      <c r="CC9" s="956">
        <v>97424965.908500075</v>
      </c>
      <c r="CD9" s="956">
        <v>4.6875236286878099</v>
      </c>
      <c r="CE9" s="723">
        <f t="shared" si="62"/>
        <v>-8.3955931010536666E-2</v>
      </c>
      <c r="CF9" s="792">
        <f t="shared" si="19"/>
        <v>105753896.93769997</v>
      </c>
      <c r="CG9" s="824">
        <f t="shared" si="19"/>
        <v>5.0829189065932399</v>
      </c>
      <c r="CH9" s="723">
        <f>CG9/CD9-1</f>
        <v>8.4350567426603851E-2</v>
      </c>
      <c r="CI9" s="825">
        <f t="shared" si="63"/>
        <v>1.5920999404767771</v>
      </c>
      <c r="CJ9" s="723">
        <f t="shared" ref="CJ9:CJ11" si="74">(CI9+1)^(1/(2022-2004))-1</f>
        <v>5.4339924883815671E-2</v>
      </c>
      <c r="CN9" s="274">
        <v>4</v>
      </c>
      <c r="CO9" s="275" t="s">
        <v>71</v>
      </c>
      <c r="CP9" s="276">
        <f t="shared" ref="CP9:CW9" si="75">SUM(CP6:CP8)</f>
        <v>1754646.0788748774</v>
      </c>
      <c r="CQ9" s="277">
        <f t="shared" si="75"/>
        <v>32674880.229199998</v>
      </c>
      <c r="CR9" s="277">
        <f t="shared" si="75"/>
        <v>5326417.5981999999</v>
      </c>
      <c r="CS9" s="278">
        <f t="shared" si="75"/>
        <v>38001297.827399999</v>
      </c>
      <c r="CT9" s="276">
        <f t="shared" si="75"/>
        <v>1762701.0470566959</v>
      </c>
      <c r="CU9" s="277">
        <f t="shared" si="75"/>
        <v>32842218.314654544</v>
      </c>
      <c r="CV9" s="277">
        <f t="shared" si="75"/>
        <v>3970981.5330281532</v>
      </c>
      <c r="CW9" s="277">
        <f t="shared" si="75"/>
        <v>36813199.8476827</v>
      </c>
      <c r="CY9" s="20"/>
      <c r="DA9" s="274">
        <v>4</v>
      </c>
      <c r="DB9" s="275" t="s">
        <v>71</v>
      </c>
      <c r="DC9" s="279">
        <f>SUM(DC6:DC8)</f>
        <v>86327.441190476195</v>
      </c>
      <c r="DD9" s="868">
        <f>SUM(DD6:DD8)</f>
        <v>1804966.5518499999</v>
      </c>
      <c r="DE9" s="279">
        <f>SUM(DE6:DE8)</f>
        <v>86370.623008658004</v>
      </c>
      <c r="DF9" s="869">
        <f>SUM(DF6:DF8)</f>
        <v>1805841.8473045453</v>
      </c>
      <c r="DG9" s="869">
        <f>SUM(DG6:DG8)</f>
        <v>1805841.8473045453</v>
      </c>
      <c r="DI9" s="20"/>
      <c r="DK9" s="274">
        <v>4</v>
      </c>
      <c r="DL9" s="275" t="s">
        <v>71</v>
      </c>
      <c r="DM9" s="279">
        <f>SUM(DM6:DM8)</f>
        <v>567379.8664464287</v>
      </c>
      <c r="DN9" s="280">
        <f>SUM(DN6:DN8)</f>
        <v>16523554.25475</v>
      </c>
      <c r="DO9" s="279">
        <f>SUM(DO6:DO8)</f>
        <v>570064.6364464286</v>
      </c>
      <c r="DP9" s="281">
        <f>SUM(DP6:DP8)</f>
        <v>17962433.615376391</v>
      </c>
      <c r="DT9" s="222">
        <v>4</v>
      </c>
      <c r="DU9" s="733" t="s">
        <v>189</v>
      </c>
      <c r="DV9" s="650">
        <v>745102.29810000001</v>
      </c>
      <c r="DW9" s="650">
        <v>846858.39999999991</v>
      </c>
      <c r="DX9" s="650">
        <v>1366842.7921999996</v>
      </c>
      <c r="DY9" s="650">
        <v>2958803.4902999997</v>
      </c>
      <c r="DZ9" s="792"/>
      <c r="EA9" s="650"/>
      <c r="EB9" s="650"/>
      <c r="EC9" s="650"/>
      <c r="EG9" s="282">
        <v>4</v>
      </c>
      <c r="EH9" s="283" t="s">
        <v>71</v>
      </c>
      <c r="EI9" s="284">
        <f t="shared" ref="EI9:EO9" si="76">SUM(EI6:EI8)</f>
        <v>451090.18599999999</v>
      </c>
      <c r="EJ9" s="284">
        <f t="shared" si="76"/>
        <v>1817830.5189999999</v>
      </c>
      <c r="EK9" s="284">
        <f t="shared" si="76"/>
        <v>3631481.501164</v>
      </c>
      <c r="EL9" s="285">
        <f t="shared" si="76"/>
        <v>5900402.2061640006</v>
      </c>
      <c r="EM9" s="284">
        <f t="shared" si="76"/>
        <v>449815.8674539472</v>
      </c>
      <c r="EN9" s="284">
        <f t="shared" si="76"/>
        <v>1817830.5189999999</v>
      </c>
      <c r="EO9" s="284">
        <f t="shared" si="76"/>
        <v>3675012.1308598211</v>
      </c>
      <c r="EP9" s="284">
        <f>SUM(EP6:EP8)</f>
        <v>5942658.5173137691</v>
      </c>
      <c r="EQ9" s="16"/>
      <c r="ER9" s="266"/>
      <c r="ET9" s="282">
        <v>4</v>
      </c>
      <c r="EU9" s="283" t="s">
        <v>71</v>
      </c>
      <c r="EV9" s="284">
        <f t="shared" ref="EV9:FC9" si="77">SUM(EV6:EV8)</f>
        <v>1227455.1140000001</v>
      </c>
      <c r="EW9" s="284">
        <f t="shared" si="77"/>
        <v>1152595.8190000001</v>
      </c>
      <c r="EX9" s="284">
        <f t="shared" si="77"/>
        <v>1416596.2439999999</v>
      </c>
      <c r="EY9" s="285">
        <f t="shared" si="77"/>
        <v>3796647.1770000006</v>
      </c>
      <c r="EZ9" s="284">
        <f t="shared" si="77"/>
        <v>1164701.1920819106</v>
      </c>
      <c r="FA9" s="284">
        <f t="shared" si="77"/>
        <v>1091059.0536166667</v>
      </c>
      <c r="FB9" s="284">
        <f t="shared" si="77"/>
        <v>1366659.5182101913</v>
      </c>
      <c r="FC9" s="285">
        <f t="shared" si="77"/>
        <v>3622419.763908769</v>
      </c>
      <c r="FD9" s="284">
        <v>2645836.9796721428</v>
      </c>
      <c r="FE9" s="284">
        <v>976583.26027482667</v>
      </c>
      <c r="FF9" s="284">
        <f t="shared" si="20"/>
        <v>3622420.2399469693</v>
      </c>
      <c r="FG9" s="16"/>
      <c r="FH9" s="266"/>
      <c r="FJ9" s="222">
        <f t="shared" ref="FJ9:FJ36" si="78">FJ8+1</f>
        <v>4</v>
      </c>
      <c r="FK9" s="242"/>
      <c r="FL9" s="877" t="s">
        <v>190</v>
      </c>
      <c r="FM9" s="650">
        <v>187053.99349999998</v>
      </c>
      <c r="FN9" s="650">
        <v>201367.96999999997</v>
      </c>
      <c r="FO9" s="650">
        <v>211381.89823999998</v>
      </c>
      <c r="FP9" s="794">
        <f t="shared" si="21"/>
        <v>599803.86173999996</v>
      </c>
      <c r="FQ9" s="650">
        <v>187102.71895454542</v>
      </c>
      <c r="FR9" s="650">
        <v>201367.96999999997</v>
      </c>
      <c r="FS9" s="650">
        <v>211768.89823999998</v>
      </c>
      <c r="FT9" s="650">
        <v>600239.58719454543</v>
      </c>
      <c r="FU9" s="955">
        <v>600239.58719454543</v>
      </c>
      <c r="FV9" s="16"/>
      <c r="FW9" s="266"/>
      <c r="FY9" s="222">
        <v>4</v>
      </c>
      <c r="FZ9" s="969" t="s">
        <v>191</v>
      </c>
      <c r="GA9" s="650">
        <v>0</v>
      </c>
      <c r="GB9" s="650">
        <v>144.44999999999999</v>
      </c>
      <c r="GC9" s="650">
        <v>0</v>
      </c>
      <c r="GD9" s="794">
        <f t="shared" si="1"/>
        <v>144.44999999999999</v>
      </c>
      <c r="GE9" s="650">
        <v>0</v>
      </c>
      <c r="GF9" s="650">
        <v>144.44999999999999</v>
      </c>
      <c r="GG9" s="650">
        <v>0</v>
      </c>
      <c r="GH9" s="650">
        <f>SUM(GE9:GG9)</f>
        <v>144.44999999999999</v>
      </c>
      <c r="GI9" s="202"/>
      <c r="GJ9" s="203"/>
      <c r="GL9" s="286">
        <v>4</v>
      </c>
      <c r="GM9" s="885" t="s">
        <v>192</v>
      </c>
      <c r="GN9" s="885">
        <f>GN7-GN8</f>
        <v>17336653.61379452</v>
      </c>
      <c r="GO9" s="885">
        <f>GO7-GO8</f>
        <v>36228582.601999998</v>
      </c>
      <c r="GP9" s="885">
        <f>GP7-GP8</f>
        <v>57810304.313600004</v>
      </c>
      <c r="GQ9" s="885">
        <f>SUM(GN9:GP9)</f>
        <v>111375540.52939452</v>
      </c>
      <c r="GR9" s="885">
        <f>GR7-GR8</f>
        <v>15104029.58157273</v>
      </c>
      <c r="GS9" s="885">
        <f>GS7-GS8</f>
        <v>34464321.422000006</v>
      </c>
      <c r="GT9" s="885">
        <f>GT7-GT8</f>
        <v>56786467.263899982</v>
      </c>
      <c r="GU9" s="885">
        <f>SUM(GR9:GT9)</f>
        <v>106354818.26747271</v>
      </c>
      <c r="GZ9" s="222">
        <v>4</v>
      </c>
      <c r="HA9" s="663">
        <v>4</v>
      </c>
      <c r="HB9" s="663">
        <v>10</v>
      </c>
      <c r="HC9" s="663">
        <v>11</v>
      </c>
      <c r="HD9" s="682">
        <v>24610749</v>
      </c>
      <c r="HE9" s="682">
        <v>27099362</v>
      </c>
      <c r="HF9" s="724">
        <f t="shared" si="22"/>
        <v>1.1000000000000001</v>
      </c>
      <c r="HG9" s="724">
        <f t="shared" si="23"/>
        <v>1.1011189460345152</v>
      </c>
      <c r="HH9" s="723">
        <v>1</v>
      </c>
      <c r="HI9" s="723">
        <v>0</v>
      </c>
      <c r="HJ9" s="723">
        <v>0</v>
      </c>
      <c r="HN9" s="243">
        <v>4</v>
      </c>
      <c r="HO9" s="891">
        <v>4</v>
      </c>
      <c r="HP9" s="793">
        <f t="shared" si="2"/>
        <v>1.1011189460345152</v>
      </c>
      <c r="HQ9" s="650">
        <v>14661</v>
      </c>
      <c r="HR9" s="794">
        <f t="shared" si="24"/>
        <v>16143.504867812027</v>
      </c>
      <c r="HS9" s="650">
        <v>2674997</v>
      </c>
      <c r="HT9" s="975">
        <v>2941415</v>
      </c>
      <c r="HU9" s="650">
        <v>1284924.1558000001</v>
      </c>
      <c r="HV9" s="975">
        <v>1463576</v>
      </c>
      <c r="HW9" s="650">
        <v>225000</v>
      </c>
      <c r="HX9" s="955">
        <v>247500</v>
      </c>
      <c r="HY9" s="650">
        <f t="shared" si="25"/>
        <v>1524585.1558000001</v>
      </c>
      <c r="HZ9" s="650">
        <f t="shared" si="25"/>
        <v>1727219.5048678119</v>
      </c>
      <c r="IA9" s="206"/>
      <c r="IB9" s="207"/>
      <c r="IC9" s="206"/>
      <c r="ID9" s="244">
        <v>4</v>
      </c>
      <c r="IE9" s="891">
        <v>4</v>
      </c>
      <c r="IF9" s="899">
        <f t="shared" si="3"/>
        <v>1.1000000000000001</v>
      </c>
      <c r="IG9" s="900">
        <f t="shared" si="3"/>
        <v>1.1011189460345152</v>
      </c>
      <c r="IH9" s="955">
        <v>488079.30426010059</v>
      </c>
      <c r="II9" s="794">
        <f t="shared" si="64"/>
        <v>537433.36908814148</v>
      </c>
      <c r="IJ9" s="955">
        <v>49144.689999999995</v>
      </c>
      <c r="IK9" s="794">
        <f t="shared" si="26"/>
        <v>54114.149255992976</v>
      </c>
      <c r="IL9" s="955">
        <v>266927.91573989944</v>
      </c>
      <c r="IM9" s="794">
        <f>IL9*IF9</f>
        <v>293620.7073138894</v>
      </c>
      <c r="IN9" s="955">
        <v>446411.14275394066</v>
      </c>
      <c r="IO9" s="995">
        <v>464523.93858632422</v>
      </c>
      <c r="IP9" s="955">
        <v>36638.874999999985</v>
      </c>
      <c r="IQ9" s="794">
        <f t="shared" si="27"/>
        <v>40343.759423890333</v>
      </c>
      <c r="IR9" s="955">
        <v>45956.791999999987</v>
      </c>
      <c r="IS9" s="794">
        <f t="shared" si="28"/>
        <v>50603.894370167429</v>
      </c>
      <c r="IT9" s="955">
        <v>54174.032000000007</v>
      </c>
      <c r="IU9" s="794">
        <f t="shared" si="29"/>
        <v>59652.053018280109</v>
      </c>
      <c r="IV9" s="955">
        <v>148516.94685000001</v>
      </c>
      <c r="IW9" s="794">
        <f t="shared" si="30"/>
        <v>163534.82398373613</v>
      </c>
      <c r="IX9" s="650">
        <f t="shared" si="31"/>
        <v>1535849.6986039407</v>
      </c>
      <c r="IY9" s="650">
        <f t="shared" si="31"/>
        <v>1663826.6950404223</v>
      </c>
      <c r="IZ9" s="683">
        <f t="shared" si="4"/>
        <v>6.1397264446315098</v>
      </c>
      <c r="JD9" s="222">
        <v>4</v>
      </c>
      <c r="JE9" s="663">
        <v>4</v>
      </c>
      <c r="JF9" s="660">
        <f t="shared" si="5"/>
        <v>11</v>
      </c>
      <c r="JG9" s="660">
        <f t="shared" si="32"/>
        <v>11</v>
      </c>
      <c r="JH9" s="905">
        <f t="shared" si="6"/>
        <v>27099362</v>
      </c>
      <c r="JI9" s="905">
        <f>JH9*$JK$26</f>
        <v>27105278.038560878</v>
      </c>
      <c r="JJ9" s="906">
        <f t="shared" si="33"/>
        <v>1</v>
      </c>
      <c r="JK9" s="906">
        <f t="shared" si="34"/>
        <v>1.0002183091454655</v>
      </c>
      <c r="JL9" s="906">
        <f t="shared" si="35"/>
        <v>1.0353365576634759</v>
      </c>
      <c r="JM9" s="663" t="s">
        <v>424</v>
      </c>
      <c r="JN9" s="209"/>
      <c r="JO9" s="210"/>
      <c r="JP9" s="209"/>
      <c r="JQ9" s="222">
        <v>4</v>
      </c>
      <c r="JR9" s="663">
        <v>4</v>
      </c>
      <c r="JS9" s="914" t="str">
        <f t="shared" si="7"/>
        <v>Q4</v>
      </c>
      <c r="JT9" s="913">
        <f t="shared" si="8"/>
        <v>1.0353365576634759</v>
      </c>
      <c r="JU9" s="671">
        <f t="shared" si="36"/>
        <v>16143.504867812027</v>
      </c>
      <c r="JV9" s="671">
        <f t="shared" si="37"/>
        <v>16713.960758464069</v>
      </c>
      <c r="JW9" s="671">
        <f t="shared" si="9"/>
        <v>2941415</v>
      </c>
      <c r="JX9" s="671">
        <f t="shared" si="38"/>
        <v>2991011.2864852389</v>
      </c>
      <c r="JY9" s="671">
        <f t="shared" si="10"/>
        <v>1463576</v>
      </c>
      <c r="JZ9" s="671">
        <f t="shared" si="11"/>
        <v>1342492.5793023109</v>
      </c>
      <c r="KA9" s="671">
        <f t="shared" si="39"/>
        <v>247500</v>
      </c>
      <c r="KB9" s="671">
        <f t="shared" si="40"/>
        <v>58663.134626388877</v>
      </c>
      <c r="KC9" s="671">
        <f t="shared" si="41"/>
        <v>1727219.5048678119</v>
      </c>
      <c r="KD9" s="671">
        <f t="shared" si="41"/>
        <v>1417869.6746871639</v>
      </c>
      <c r="KE9" s="211"/>
      <c r="KF9" s="210"/>
      <c r="KG9" s="209"/>
      <c r="KH9" s="245">
        <f t="shared" si="65"/>
        <v>4</v>
      </c>
      <c r="KI9" s="917">
        <v>3</v>
      </c>
      <c r="KJ9" s="918">
        <f t="shared" si="66"/>
        <v>0.91666666666666663</v>
      </c>
      <c r="KK9" s="918">
        <f t="shared" si="66"/>
        <v>1.0002183091454655</v>
      </c>
      <c r="KL9" s="898">
        <v>1.6546666699999999</v>
      </c>
      <c r="KM9" s="801">
        <f t="shared" si="67"/>
        <v>959561.66228681698</v>
      </c>
      <c r="KN9" s="898">
        <v>1.6546666699999999</v>
      </c>
      <c r="KO9" s="801">
        <f t="shared" si="42"/>
        <v>53299.967500849823</v>
      </c>
      <c r="KP9" s="898">
        <v>1.6546666699999999</v>
      </c>
      <c r="KQ9" s="801">
        <f t="shared" si="43"/>
        <v>393658.57324517204</v>
      </c>
      <c r="KR9" s="898">
        <v>1.6546666699999999</v>
      </c>
      <c r="KS9" s="801">
        <f t="shared" si="68"/>
        <v>539269.90087968996</v>
      </c>
      <c r="KT9" s="898">
        <v>1.6546666699999999</v>
      </c>
      <c r="KU9" s="801">
        <f t="shared" si="44"/>
        <v>99311.117213167454</v>
      </c>
      <c r="KV9" s="898">
        <v>1.6546666699999999</v>
      </c>
      <c r="KW9" s="801">
        <f t="shared" si="45"/>
        <v>87699.395492467695</v>
      </c>
      <c r="KX9" s="898">
        <v>1.6546666699999999</v>
      </c>
      <c r="KY9" s="801">
        <f t="shared" si="46"/>
        <v>14109.096928100405</v>
      </c>
      <c r="KZ9" s="898">
        <v>1.6546666699999999</v>
      </c>
      <c r="LA9" s="919">
        <f t="shared" si="47"/>
        <v>286587.40512611292</v>
      </c>
      <c r="LB9" s="646">
        <f t="shared" si="48"/>
        <v>2432330.3221154893</v>
      </c>
      <c r="LC9" s="646">
        <f t="shared" ref="LC9:LC26" si="79">KM9+KO9+KQ9+KS9+KU9+KY9+LA9+KW9</f>
        <v>2433497.118672377</v>
      </c>
      <c r="LD9" s="16"/>
      <c r="LE9" s="220"/>
      <c r="LG9" s="222">
        <v>4</v>
      </c>
      <c r="LH9" s="922">
        <v>4</v>
      </c>
      <c r="LI9" s="650">
        <f t="shared" si="12"/>
        <v>1524585.1558000001</v>
      </c>
      <c r="LJ9" s="650">
        <f t="shared" si="12"/>
        <v>1727219.5048678119</v>
      </c>
      <c r="LK9" s="794">
        <f t="shared" si="13"/>
        <v>1417869.6746871639</v>
      </c>
      <c r="LL9" s="650">
        <f t="shared" si="14"/>
        <v>1535849.6986039407</v>
      </c>
      <c r="LM9" s="650">
        <f t="shared" si="14"/>
        <v>1663826.6950404223</v>
      </c>
      <c r="LN9" s="794">
        <f t="shared" si="49"/>
        <v>1722620.6029917486</v>
      </c>
      <c r="LO9" s="650">
        <f t="shared" si="50"/>
        <v>-11264.542803940596</v>
      </c>
      <c r="LP9" s="650">
        <f t="shared" si="50"/>
        <v>63392.809827389661</v>
      </c>
      <c r="LQ9" s="650">
        <f t="shared" si="50"/>
        <v>-304750.9283045847</v>
      </c>
      <c r="LU9" s="222">
        <f t="shared" si="69"/>
        <v>4</v>
      </c>
      <c r="LV9" s="812" t="s">
        <v>193</v>
      </c>
      <c r="LW9" s="650">
        <f>LW7+LW8</f>
        <v>352061225.5350607</v>
      </c>
      <c r="MA9" s="192">
        <f t="shared" ref="MA9:MA24" si="80">MA8+1</f>
        <v>3</v>
      </c>
      <c r="MB9" s="814" t="s">
        <v>194</v>
      </c>
      <c r="MC9" s="860">
        <f>N9</f>
        <v>108693495.22953826</v>
      </c>
      <c r="MD9" s="928">
        <f t="shared" si="51"/>
        <v>4.952882524917972</v>
      </c>
      <c r="ME9" s="796"/>
      <c r="MF9" s="798">
        <f>MC30</f>
        <v>124869293.02735759</v>
      </c>
      <c r="MG9" s="928">
        <f t="shared" si="52"/>
        <v>5.6899719530409323</v>
      </c>
      <c r="MK9" s="192">
        <f t="shared" ref="MK9:MK24" si="81">MK8+1</f>
        <v>3</v>
      </c>
      <c r="ML9" s="814" t="str">
        <f t="shared" si="53"/>
        <v>Base Handling Commissions (HC)</v>
      </c>
      <c r="MM9" s="979">
        <v>131674066.73842122</v>
      </c>
      <c r="MN9" s="860">
        <f>MC9</f>
        <v>108693495.22953826</v>
      </c>
      <c r="MO9" s="860">
        <f t="shared" si="70"/>
        <v>-22980571.508882955</v>
      </c>
      <c r="MP9" s="830">
        <f t="shared" si="71"/>
        <v>-0.17452617723530406</v>
      </c>
    </row>
    <row r="10" spans="1:405" s="29" customFormat="1" ht="16.5" x14ac:dyDescent="0.3">
      <c r="B10" s="181">
        <f t="shared" si="72"/>
        <v>5</v>
      </c>
      <c r="C10" s="795"/>
      <c r="D10" s="796" t="s">
        <v>195</v>
      </c>
      <c r="E10" s="797"/>
      <c r="F10" s="798">
        <f>GD12</f>
        <v>1116505.0026</v>
      </c>
      <c r="G10" s="799">
        <f t="shared" si="15"/>
        <v>5.3663312193258469E-2</v>
      </c>
      <c r="H10" s="798">
        <f>GH12</f>
        <v>314630.85259999998</v>
      </c>
      <c r="I10" s="800">
        <f t="shared" si="16"/>
        <v>1.504309160679523E-2</v>
      </c>
      <c r="J10" s="801">
        <f t="shared" si="54"/>
        <v>-801874.15</v>
      </c>
      <c r="K10" s="798">
        <f>HR26</f>
        <v>323903.59259512648</v>
      </c>
      <c r="L10" s="800">
        <f t="shared" si="17"/>
        <v>1.4762674288716604E-2</v>
      </c>
      <c r="M10" s="801">
        <f t="shared" si="55"/>
        <v>9272.7399951264961</v>
      </c>
      <c r="N10" s="798">
        <f>JV26</f>
        <v>335442.86620895599</v>
      </c>
      <c r="O10" s="800">
        <f t="shared" si="18"/>
        <v>1.5285267132556386E-2</v>
      </c>
      <c r="P10" s="801">
        <f t="shared" si="56"/>
        <v>11539.273613829515</v>
      </c>
      <c r="Q10" s="798">
        <f t="shared" si="57"/>
        <v>-781062.13639104401</v>
      </c>
      <c r="R10" s="802">
        <f t="shared" si="58"/>
        <v>-0.71516355387253527</v>
      </c>
      <c r="S10" s="12"/>
      <c r="T10" s="13"/>
      <c r="U10" s="12"/>
      <c r="V10" s="165">
        <f>V8+1</f>
        <v>3</v>
      </c>
      <c r="W10" s="805" t="s">
        <v>172</v>
      </c>
      <c r="X10" s="955">
        <v>-2556595.7831702125</v>
      </c>
      <c r="Y10" s="955">
        <v>1170566.5451474434</v>
      </c>
      <c r="Z10" s="955">
        <v>6455212.4211677872</v>
      </c>
      <c r="AA10" s="1001">
        <f>SUM(X10:Z10)</f>
        <v>5069183.1831450183</v>
      </c>
      <c r="AB10" s="18" t="s">
        <v>431</v>
      </c>
      <c r="AC10" s="12"/>
      <c r="AD10" s="13"/>
      <c r="AE10" s="12"/>
      <c r="AF10" s="252">
        <f t="shared" si="73"/>
        <v>4</v>
      </c>
      <c r="AG10" s="191" t="s">
        <v>24</v>
      </c>
      <c r="AK10" s="12"/>
      <c r="AL10" s="13"/>
      <c r="AM10" s="12"/>
      <c r="AN10" s="192">
        <v>5</v>
      </c>
      <c r="AO10" s="254"/>
      <c r="AQ10" s="796" t="s">
        <v>195</v>
      </c>
      <c r="AR10" s="797"/>
      <c r="AS10" s="827">
        <v>351000.77</v>
      </c>
      <c r="AT10" s="828">
        <v>3.4227935612112924E-2</v>
      </c>
      <c r="AU10" s="829"/>
      <c r="AV10" s="827">
        <v>392967.44999999995</v>
      </c>
      <c r="AW10" s="828">
        <v>3.6413574986312203E-2</v>
      </c>
      <c r="AX10" s="830">
        <f>AW10/AT10-1</f>
        <v>6.3855424965384211E-2</v>
      </c>
      <c r="AY10" s="829"/>
      <c r="AZ10" s="827">
        <v>419971.50999999995</v>
      </c>
      <c r="BA10" s="828">
        <v>3.2552478729062043E-2</v>
      </c>
      <c r="BB10" s="830">
        <f>BA10/AW10-1</f>
        <v>-0.10603452857077444</v>
      </c>
      <c r="BC10" s="829"/>
      <c r="BD10" s="827">
        <v>465783.3236</v>
      </c>
      <c r="BE10" s="828">
        <v>3.1672779070028398E-2</v>
      </c>
      <c r="BF10" s="830">
        <f>BE10/BA10-1</f>
        <v>-2.7024045276413E-2</v>
      </c>
      <c r="BG10" s="829"/>
      <c r="BH10" s="827">
        <v>1360261.3124000002</v>
      </c>
      <c r="BI10" s="828">
        <v>8.9511992892331985E-2</v>
      </c>
      <c r="BJ10" s="830">
        <f>BI10/BE10-1</f>
        <v>1.8261489998847686</v>
      </c>
      <c r="BK10" s="829"/>
      <c r="BL10" s="827">
        <v>1390376.9787000001</v>
      </c>
      <c r="BM10" s="828">
        <v>8.2655695684016636E-2</v>
      </c>
      <c r="BN10" s="830">
        <f>BM10/BI10-1</f>
        <v>-7.6596408891960732E-2</v>
      </c>
      <c r="BO10" s="829"/>
      <c r="BP10" s="827">
        <v>770218.05</v>
      </c>
      <c r="BQ10" s="828">
        <v>4.1525871275282955E-2</v>
      </c>
      <c r="BR10" s="830">
        <f>BQ10/BM10-1</f>
        <v>-0.49760423729259196</v>
      </c>
      <c r="BS10" s="829"/>
      <c r="BT10" s="796">
        <v>1472526.2590000001</v>
      </c>
      <c r="BU10" s="796">
        <v>7.5050191908761346E-2</v>
      </c>
      <c r="BV10" s="796">
        <f>BU10/BQ10-1</f>
        <v>0.8073116735164747</v>
      </c>
      <c r="BW10" s="258">
        <v>11886052.370000001</v>
      </c>
      <c r="BX10" s="259">
        <v>0.6140398725184244</v>
      </c>
      <c r="BY10" s="831">
        <f t="shared" si="60"/>
        <v>7.1817228830662252</v>
      </c>
      <c r="BZ10" s="831">
        <v>6021594.1700000009</v>
      </c>
      <c r="CA10" s="831">
        <v>0.29519107155012259</v>
      </c>
      <c r="CB10" s="831">
        <f t="shared" si="61"/>
        <v>-0.51926400098510661</v>
      </c>
      <c r="CC10" s="956">
        <v>2435490.3939</v>
      </c>
      <c r="CD10" s="956">
        <v>0.11718165526042415</v>
      </c>
      <c r="CE10" s="802">
        <f t="shared" si="62"/>
        <v>-0.60303116674541068</v>
      </c>
      <c r="CF10" s="798">
        <f t="shared" si="19"/>
        <v>1116505.0026</v>
      </c>
      <c r="CG10" s="831">
        <f t="shared" si="19"/>
        <v>5.3663312193258469E-2</v>
      </c>
      <c r="CH10" s="802">
        <f>CG10/CD10-1</f>
        <v>-0.54205022898851118</v>
      </c>
      <c r="CI10" s="832">
        <f t="shared" si="63"/>
        <v>2.1809189552490156</v>
      </c>
      <c r="CJ10" s="802">
        <f t="shared" si="74"/>
        <v>6.6398656147326873E-2</v>
      </c>
      <c r="CK10" s="12"/>
      <c r="CL10" s="13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20"/>
      <c r="CZ10" s="12"/>
      <c r="DA10" s="287"/>
      <c r="DB10" s="288"/>
      <c r="DC10" s="289"/>
      <c r="DD10" s="12"/>
      <c r="DE10" s="289"/>
      <c r="DF10" s="12"/>
      <c r="DG10" s="12"/>
      <c r="DH10" s="12"/>
      <c r="DI10" s="20"/>
      <c r="DJ10" s="12"/>
      <c r="DK10" s="12"/>
      <c r="DL10" s="12"/>
      <c r="DM10" s="12"/>
      <c r="DN10" s="12"/>
      <c r="DO10" s="12"/>
      <c r="DP10" s="12"/>
      <c r="DQ10" s="12"/>
      <c r="DR10" s="13"/>
      <c r="DS10" s="12"/>
      <c r="DT10" s="192">
        <v>5</v>
      </c>
      <c r="DU10" s="874" t="s">
        <v>196</v>
      </c>
      <c r="DV10" s="860"/>
      <c r="DW10" s="860"/>
      <c r="DX10" s="860"/>
      <c r="DY10" s="860"/>
      <c r="DZ10" s="954">
        <v>3188331.9858326707</v>
      </c>
      <c r="EA10" s="955">
        <v>5333427.9915022952</v>
      </c>
      <c r="EB10" s="955">
        <v>7194319.2214661567</v>
      </c>
      <c r="EC10" s="955">
        <v>15716079.198801123</v>
      </c>
      <c r="ED10" s="12"/>
      <c r="EE10" s="13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6"/>
      <c r="ER10" s="266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951" t="s">
        <v>197</v>
      </c>
      <c r="FF10" s="12"/>
      <c r="FG10" s="16"/>
      <c r="FH10" s="266"/>
      <c r="FI10" s="12"/>
      <c r="FJ10" s="192">
        <f t="shared" si="78"/>
        <v>5</v>
      </c>
      <c r="FK10" s="265"/>
      <c r="FL10" s="878" t="s">
        <v>198</v>
      </c>
      <c r="FM10" s="860">
        <v>27043.4</v>
      </c>
      <c r="FN10" s="860">
        <v>143518.97</v>
      </c>
      <c r="FO10" s="860">
        <v>26153.77</v>
      </c>
      <c r="FP10" s="801">
        <f t="shared" si="21"/>
        <v>196716.14</v>
      </c>
      <c r="FQ10" s="860">
        <v>0</v>
      </c>
      <c r="FR10" s="860">
        <v>0</v>
      </c>
      <c r="FS10" s="860">
        <v>0</v>
      </c>
      <c r="FT10" s="860">
        <v>0</v>
      </c>
      <c r="FU10" s="955">
        <v>0</v>
      </c>
      <c r="FV10" s="16"/>
      <c r="FW10" s="266"/>
      <c r="FX10" s="12"/>
      <c r="FY10" s="192">
        <v>5</v>
      </c>
      <c r="FZ10" s="969" t="s">
        <v>199</v>
      </c>
      <c r="GA10" s="860">
        <v>2264.3409999999999</v>
      </c>
      <c r="GB10" s="860">
        <v>71321</v>
      </c>
      <c r="GC10" s="860">
        <v>90199.61</v>
      </c>
      <c r="GD10" s="801">
        <f t="shared" si="1"/>
        <v>163784.951</v>
      </c>
      <c r="GE10" s="860">
        <v>2264.3409999999994</v>
      </c>
      <c r="GF10" s="860">
        <v>71321</v>
      </c>
      <c r="GG10" s="860">
        <v>90199.61</v>
      </c>
      <c r="GH10" s="860">
        <f>SUM(GE10:GG10)</f>
        <v>163784.951</v>
      </c>
      <c r="GI10" s="202"/>
      <c r="GJ10" s="203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204"/>
      <c r="GW10" s="290"/>
      <c r="GX10" s="12"/>
      <c r="GY10" s="12"/>
      <c r="GZ10" s="192">
        <v>5</v>
      </c>
      <c r="HA10" s="886">
        <v>5</v>
      </c>
      <c r="HB10" s="886">
        <v>10</v>
      </c>
      <c r="HC10" s="886">
        <v>10</v>
      </c>
      <c r="HD10" s="887">
        <v>27582468</v>
      </c>
      <c r="HE10" s="887">
        <v>27845108</v>
      </c>
      <c r="HF10" s="800">
        <f t="shared" si="22"/>
        <v>1</v>
      </c>
      <c r="HG10" s="800">
        <f t="shared" si="23"/>
        <v>1.0095219905629909</v>
      </c>
      <c r="HH10" s="802">
        <v>1</v>
      </c>
      <c r="HI10" s="802">
        <v>0</v>
      </c>
      <c r="HJ10" s="802">
        <v>0</v>
      </c>
      <c r="HK10" s="12"/>
      <c r="HL10" s="13"/>
      <c r="HM10" s="12"/>
      <c r="HN10" s="267">
        <v>5</v>
      </c>
      <c r="HO10" s="892">
        <v>5</v>
      </c>
      <c r="HP10" s="799">
        <f t="shared" si="2"/>
        <v>1.0095219905629909</v>
      </c>
      <c r="HQ10" s="860">
        <v>18003.84</v>
      </c>
      <c r="HR10" s="801">
        <f t="shared" si="24"/>
        <v>18175.272394577598</v>
      </c>
      <c r="HS10" s="860">
        <v>2986640</v>
      </c>
      <c r="HT10" s="975">
        <v>3015599</v>
      </c>
      <c r="HU10" s="860">
        <v>1473505.2203000002</v>
      </c>
      <c r="HV10" s="975">
        <v>1517912</v>
      </c>
      <c r="HW10" s="860">
        <v>225000</v>
      </c>
      <c r="HX10" s="955">
        <v>225000</v>
      </c>
      <c r="HY10" s="860">
        <f t="shared" si="25"/>
        <v>1716509.0603000002</v>
      </c>
      <c r="HZ10" s="860">
        <f t="shared" si="25"/>
        <v>1761087.2723945775</v>
      </c>
      <c r="IA10" s="206"/>
      <c r="IB10" s="207"/>
      <c r="IC10" s="206"/>
      <c r="ID10" s="208">
        <v>5</v>
      </c>
      <c r="IE10" s="892">
        <v>5</v>
      </c>
      <c r="IF10" s="896">
        <f t="shared" si="3"/>
        <v>1</v>
      </c>
      <c r="IG10" s="897">
        <f t="shared" si="3"/>
        <v>1.0095219905629909</v>
      </c>
      <c r="IH10" s="955">
        <v>355051.0988864348</v>
      </c>
      <c r="II10" s="801">
        <f t="shared" si="64"/>
        <v>358431.89209941099</v>
      </c>
      <c r="IJ10" s="955">
        <v>26799.5</v>
      </c>
      <c r="IK10" s="801">
        <f t="shared" si="26"/>
        <v>27054.684586092873</v>
      </c>
      <c r="IL10" s="955">
        <v>435175.40111356514</v>
      </c>
      <c r="IM10" s="801">
        <f t="shared" ref="IM10:IM25" si="82">IL10*IF10</f>
        <v>435175.40111356514</v>
      </c>
      <c r="IN10" s="955">
        <v>413268.48496479425</v>
      </c>
      <c r="IO10" s="995">
        <v>413268.48496479425</v>
      </c>
      <c r="IP10" s="955">
        <v>91183.847999999984</v>
      </c>
      <c r="IQ10" s="801">
        <f t="shared" si="27"/>
        <v>92052.099740153179</v>
      </c>
      <c r="IR10" s="955">
        <v>53589.08</v>
      </c>
      <c r="IS10" s="801">
        <f t="shared" si="28"/>
        <v>54099.354714039364</v>
      </c>
      <c r="IT10" s="955">
        <v>37897.01</v>
      </c>
      <c r="IU10" s="801">
        <f t="shared" si="29"/>
        <v>38257.864971585572</v>
      </c>
      <c r="IV10" s="955">
        <v>219214.09419999996</v>
      </c>
      <c r="IW10" s="801">
        <f t="shared" si="30"/>
        <v>221301.44873624694</v>
      </c>
      <c r="IX10" s="860">
        <f t="shared" si="31"/>
        <v>1632178.5171647943</v>
      </c>
      <c r="IY10" s="860">
        <f t="shared" si="31"/>
        <v>1639641.2309258883</v>
      </c>
      <c r="IZ10" s="898">
        <f t="shared" si="4"/>
        <v>5.8884355231299095</v>
      </c>
      <c r="JA10" s="12"/>
      <c r="JB10" s="13"/>
      <c r="JC10" s="12"/>
      <c r="JD10" s="192">
        <v>5</v>
      </c>
      <c r="JE10" s="886">
        <v>5</v>
      </c>
      <c r="JF10" s="796">
        <f t="shared" si="5"/>
        <v>10</v>
      </c>
      <c r="JG10" s="796">
        <f t="shared" si="32"/>
        <v>10</v>
      </c>
      <c r="JH10" s="859">
        <f t="shared" si="6"/>
        <v>27845108</v>
      </c>
      <c r="JI10" s="859">
        <f t="shared" ref="JI10:JI25" si="83">JH10*$JK$26</f>
        <v>27851186.841732875</v>
      </c>
      <c r="JJ10" s="904">
        <f t="shared" si="33"/>
        <v>1</v>
      </c>
      <c r="JK10" s="904">
        <f t="shared" si="34"/>
        <v>1.0002183091454655</v>
      </c>
      <c r="JL10" s="904">
        <f t="shared" si="35"/>
        <v>1.0353225924751841</v>
      </c>
      <c r="JM10" s="886" t="s">
        <v>424</v>
      </c>
      <c r="JN10" s="209"/>
      <c r="JO10" s="210"/>
      <c r="JP10" s="209"/>
      <c r="JQ10" s="192">
        <v>5</v>
      </c>
      <c r="JR10" s="886">
        <v>5</v>
      </c>
      <c r="JS10" s="910" t="str">
        <f t="shared" si="7"/>
        <v>Q4</v>
      </c>
      <c r="JT10" s="911">
        <f t="shared" si="8"/>
        <v>1.0353225924751841</v>
      </c>
      <c r="JU10" s="860">
        <f t="shared" si="36"/>
        <v>18175.272394577598</v>
      </c>
      <c r="JV10" s="860">
        <f t="shared" si="37"/>
        <v>18817.270134496724</v>
      </c>
      <c r="JW10" s="860">
        <f t="shared" si="9"/>
        <v>3015599</v>
      </c>
      <c r="JX10" s="860">
        <f t="shared" si="38"/>
        <v>3073320.7778618708</v>
      </c>
      <c r="JY10" s="860">
        <f t="shared" si="10"/>
        <v>1517912</v>
      </c>
      <c r="JZ10" s="860">
        <f t="shared" si="11"/>
        <v>1379436.5660664414</v>
      </c>
      <c r="KA10" s="860">
        <f t="shared" si="39"/>
        <v>225000</v>
      </c>
      <c r="KB10" s="860">
        <f t="shared" si="40"/>
        <v>60277.482521187696</v>
      </c>
      <c r="KC10" s="860">
        <f t="shared" si="41"/>
        <v>1761087.2723945775</v>
      </c>
      <c r="KD10" s="860">
        <f t="shared" si="41"/>
        <v>1458531.3187221258</v>
      </c>
      <c r="KE10" s="211"/>
      <c r="KF10" s="210"/>
      <c r="KG10" s="209"/>
      <c r="KH10" s="243">
        <f t="shared" si="65"/>
        <v>5</v>
      </c>
      <c r="KI10" s="891">
        <v>4</v>
      </c>
      <c r="KJ10" s="920">
        <f t="shared" si="66"/>
        <v>1</v>
      </c>
      <c r="KK10" s="920">
        <f t="shared" si="66"/>
        <v>1.0002183091454655</v>
      </c>
      <c r="KL10" s="683">
        <v>1.6546666699999999</v>
      </c>
      <c r="KM10" s="794">
        <f t="shared" si="67"/>
        <v>556479.75831766776</v>
      </c>
      <c r="KN10" s="683">
        <v>1.6546666699999999</v>
      </c>
      <c r="KO10" s="794">
        <f t="shared" si="42"/>
        <v>56031.929596471404</v>
      </c>
      <c r="KP10" s="683">
        <v>1.6546666699999999</v>
      </c>
      <c r="KQ10" s="794">
        <f t="shared" si="43"/>
        <v>303960.1316634625</v>
      </c>
      <c r="KR10" s="683">
        <v>1.6546666699999999</v>
      </c>
      <c r="KS10" s="794">
        <f t="shared" si="68"/>
        <v>480881.47060617793</v>
      </c>
      <c r="KT10" s="683">
        <v>1.6546666699999999</v>
      </c>
      <c r="KU10" s="794">
        <f t="shared" si="44"/>
        <v>41773.523538227942</v>
      </c>
      <c r="KV10" s="683">
        <v>1.6546666699999999</v>
      </c>
      <c r="KW10" s="794">
        <f t="shared" si="45"/>
        <v>52397.272906262704</v>
      </c>
      <c r="KX10" s="683">
        <v>1.6546666699999999</v>
      </c>
      <c r="KY10" s="794">
        <f t="shared" si="46"/>
        <v>61766.09409848733</v>
      </c>
      <c r="KZ10" s="683">
        <v>1.6546666699999999</v>
      </c>
      <c r="LA10" s="794">
        <f t="shared" si="47"/>
        <v>169330.42226499112</v>
      </c>
      <c r="LB10" s="650">
        <f t="shared" si="48"/>
        <v>1663826.6950404223</v>
      </c>
      <c r="LC10" s="650">
        <f t="shared" si="79"/>
        <v>1722620.6029917486</v>
      </c>
      <c r="LD10" s="16"/>
      <c r="LE10" s="220"/>
      <c r="LF10" s="12"/>
      <c r="LG10" s="192">
        <v>5</v>
      </c>
      <c r="LH10" s="921">
        <v>5</v>
      </c>
      <c r="LI10" s="860">
        <f t="shared" si="12"/>
        <v>1716509.0603000002</v>
      </c>
      <c r="LJ10" s="860">
        <f t="shared" si="12"/>
        <v>1761087.2723945775</v>
      </c>
      <c r="LK10" s="801">
        <f t="shared" si="13"/>
        <v>1458531.3187221258</v>
      </c>
      <c r="LL10" s="860">
        <f t="shared" si="14"/>
        <v>1632178.5171647943</v>
      </c>
      <c r="LM10" s="860">
        <f t="shared" si="14"/>
        <v>1639641.2309258883</v>
      </c>
      <c r="LN10" s="801">
        <f t="shared" si="49"/>
        <v>1697557.6099313928</v>
      </c>
      <c r="LO10" s="860">
        <f t="shared" si="50"/>
        <v>84330.543135205982</v>
      </c>
      <c r="LP10" s="860">
        <f t="shared" si="50"/>
        <v>121446.04146868922</v>
      </c>
      <c r="LQ10" s="860">
        <f t="shared" si="50"/>
        <v>-239026.29120926699</v>
      </c>
      <c r="LR10" s="12"/>
      <c r="LS10" s="13"/>
      <c r="LT10" s="12"/>
      <c r="LU10" s="192">
        <f>LU9+1</f>
        <v>5</v>
      </c>
      <c r="LV10" s="291" t="s">
        <v>200</v>
      </c>
      <c r="LW10" s="292"/>
      <c r="LX10" s="12"/>
      <c r="LY10" s="13"/>
      <c r="LZ10" s="12"/>
      <c r="MA10" s="222">
        <f t="shared" si="80"/>
        <v>4</v>
      </c>
      <c r="MB10" s="812" t="s">
        <v>195</v>
      </c>
      <c r="MC10" s="650">
        <f>N10</f>
        <v>335442.86620895599</v>
      </c>
      <c r="MD10" s="747">
        <f t="shared" si="51"/>
        <v>1.5285267132556386E-2</v>
      </c>
      <c r="ME10" s="660"/>
      <c r="MF10" s="792">
        <f>MC10</f>
        <v>335442.86620895599</v>
      </c>
      <c r="MG10" s="747">
        <f t="shared" si="52"/>
        <v>1.5285267132556386E-2</v>
      </c>
      <c r="MH10" s="12"/>
      <c r="MI10" s="13"/>
      <c r="MJ10" s="12"/>
      <c r="MK10" s="222">
        <f t="shared" si="81"/>
        <v>4</v>
      </c>
      <c r="ML10" s="812" t="str">
        <f t="shared" si="53"/>
        <v>Misc Revenue</v>
      </c>
      <c r="MM10" s="979">
        <v>204693.58767693696</v>
      </c>
      <c r="MN10" s="650">
        <f>MC10</f>
        <v>335442.86620895599</v>
      </c>
      <c r="MO10" s="650">
        <f t="shared" si="70"/>
        <v>130749.27853201903</v>
      </c>
      <c r="MP10" s="723">
        <f t="shared" si="71"/>
        <v>0.63875610377388825</v>
      </c>
      <c r="MQ10" s="12"/>
      <c r="MR10" s="13"/>
      <c r="MS10" s="12"/>
    </row>
    <row r="11" spans="1:405" ht="16.5" x14ac:dyDescent="0.3">
      <c r="B11" s="143">
        <f>B10+1</f>
        <v>6</v>
      </c>
      <c r="C11" s="790"/>
      <c r="D11" s="660" t="s">
        <v>44</v>
      </c>
      <c r="E11" s="791"/>
      <c r="F11" s="954">
        <v>4505138.589094514</v>
      </c>
      <c r="G11" s="793">
        <f t="shared" si="15"/>
        <v>0.21653343067652001</v>
      </c>
      <c r="H11" s="954">
        <v>4505138.589094514</v>
      </c>
      <c r="I11" s="724">
        <f t="shared" si="16"/>
        <v>0.2153991318302679</v>
      </c>
      <c r="J11" s="794">
        <f t="shared" si="54"/>
        <v>0</v>
      </c>
      <c r="K11" s="954">
        <v>4786954.623376444</v>
      </c>
      <c r="L11" s="724">
        <f t="shared" si="17"/>
        <v>0.21817680802357298</v>
      </c>
      <c r="M11" s="794">
        <f t="shared" si="55"/>
        <v>281816.03428192995</v>
      </c>
      <c r="N11" s="792">
        <f>MC11</f>
        <v>4749598.8</v>
      </c>
      <c r="O11" s="724">
        <f t="shared" si="18"/>
        <v>0.2164269798042017</v>
      </c>
      <c r="P11" s="794">
        <f t="shared" si="56"/>
        <v>-37355.823376444168</v>
      </c>
      <c r="Q11" s="792">
        <f t="shared" si="57"/>
        <v>244460.21090548579</v>
      </c>
      <c r="R11" s="723">
        <f>O11/G11-1</f>
        <v>-4.9161402923203479E-4</v>
      </c>
      <c r="V11" s="252">
        <f t="shared" si="59"/>
        <v>4</v>
      </c>
      <c r="W11" s="806" t="s">
        <v>179</v>
      </c>
      <c r="X11" s="800">
        <f>X10/$H$24*100</f>
        <v>-0.12223564297640627</v>
      </c>
      <c r="Y11" s="800">
        <f>Y10/$H$24*100</f>
        <v>5.5966983609485974E-2</v>
      </c>
      <c r="Z11" s="800">
        <f>Z10/$H$24*100</f>
        <v>0.3086358219179598</v>
      </c>
      <c r="AA11" s="800">
        <f>AA10/$H$24*100</f>
        <v>0.24236716255103952</v>
      </c>
      <c r="AB11" s="227"/>
      <c r="AC11" s="233"/>
      <c r="AF11" s="165">
        <f t="shared" si="73"/>
        <v>5</v>
      </c>
      <c r="AG11" s="812" t="s">
        <v>77</v>
      </c>
      <c r="AH11" s="813">
        <f>CT9</f>
        <v>1762701.0470566959</v>
      </c>
      <c r="AI11" s="813">
        <f>DE9</f>
        <v>86370.623008658004</v>
      </c>
      <c r="AJ11" s="682">
        <f>DO9</f>
        <v>570064.6364464286</v>
      </c>
      <c r="AN11" s="293">
        <v>6</v>
      </c>
      <c r="AO11" s="294"/>
      <c r="AP11" s="294"/>
      <c r="AQ11" s="833" t="s">
        <v>201</v>
      </c>
      <c r="AR11" s="834"/>
      <c r="AS11" s="835">
        <v>41149542.24840001</v>
      </c>
      <c r="AT11" s="836">
        <v>4.0127088112831091</v>
      </c>
      <c r="AU11" s="837"/>
      <c r="AV11" s="835">
        <v>43536109.595200002</v>
      </c>
      <c r="AW11" s="836">
        <v>4.0341900871360252</v>
      </c>
      <c r="AX11" s="838">
        <f>AW11/AT11-1</f>
        <v>5.3533104102929663E-3</v>
      </c>
      <c r="AY11" s="837"/>
      <c r="AZ11" s="835">
        <v>52475468.259999998</v>
      </c>
      <c r="BA11" s="836">
        <v>4.067434394135975</v>
      </c>
      <c r="BB11" s="838">
        <f>BA11/AW11-1</f>
        <v>8.2406397026151268E-3</v>
      </c>
      <c r="BC11" s="837"/>
      <c r="BD11" s="835">
        <v>60296489.323600002</v>
      </c>
      <c r="BE11" s="836">
        <v>4.1000982394224748</v>
      </c>
      <c r="BF11" s="838">
        <f>BE11/BA11-1</f>
        <v>8.0305770471900129E-3</v>
      </c>
      <c r="BG11" s="837"/>
      <c r="BH11" s="835">
        <v>61146922.538433343</v>
      </c>
      <c r="BI11" s="836">
        <v>4.0237731131168939</v>
      </c>
      <c r="BJ11" s="838">
        <f>BI11/BE11-1</f>
        <v>-1.8615438423331909E-2</v>
      </c>
      <c r="BK11" s="837"/>
      <c r="BL11" s="835">
        <v>67411697.978699997</v>
      </c>
      <c r="BM11" s="836">
        <v>4.0075180177968992</v>
      </c>
      <c r="BN11" s="838">
        <f>BM11/BI11-1</f>
        <v>-4.0397643860697885E-3</v>
      </c>
      <c r="BO11" s="837"/>
      <c r="BP11" s="835">
        <v>82733345.540000066</v>
      </c>
      <c r="BQ11" s="836">
        <v>4.4605216108185832</v>
      </c>
      <c r="BR11" s="838">
        <f>BQ11/BM11-1</f>
        <v>0.11303844200074709</v>
      </c>
      <c r="BS11" s="837"/>
      <c r="BT11" s="839">
        <v>96023263.244399965</v>
      </c>
      <c r="BU11" s="839">
        <v>4.8940141407676769</v>
      </c>
      <c r="BV11" s="839">
        <f>BU11/BQ11-1</f>
        <v>9.7184268516421479E-2</v>
      </c>
      <c r="BW11" s="295">
        <v>108271476.32980001</v>
      </c>
      <c r="BX11" s="296">
        <v>5.5933628300959608</v>
      </c>
      <c r="BY11" s="840">
        <f t="shared" si="60"/>
        <v>0.14289878803222744</v>
      </c>
      <c r="BZ11" s="840">
        <v>110405938.53159995</v>
      </c>
      <c r="CA11" s="840">
        <v>5.4123287588874414</v>
      </c>
      <c r="CB11" s="840">
        <f t="shared" si="61"/>
        <v>-3.2365873036956816E-2</v>
      </c>
      <c r="CC11" s="957">
        <v>104395539.42615813</v>
      </c>
      <c r="CD11" s="957">
        <v>5.0229071493781339</v>
      </c>
      <c r="CE11" s="723">
        <f t="shared" si="62"/>
        <v>-7.1950841653853459E-2</v>
      </c>
      <c r="CF11" s="841">
        <f>F12</f>
        <v>111375540.52939449</v>
      </c>
      <c r="CG11" s="840">
        <f>G12</f>
        <v>5.3531156494630183</v>
      </c>
      <c r="CH11" s="723">
        <f>CG11/CD11-1</f>
        <v>6.574051445999074E-2</v>
      </c>
      <c r="CI11" s="842">
        <f t="shared" si="63"/>
        <v>1.7066046046654391</v>
      </c>
      <c r="CJ11" s="723">
        <f t="shared" si="74"/>
        <v>5.6874941511309673E-2</v>
      </c>
      <c r="CY11" s="20"/>
      <c r="DD11" s="12"/>
      <c r="DI11" s="20"/>
      <c r="DN11" s="12"/>
      <c r="DT11" s="297">
        <v>6</v>
      </c>
      <c r="DU11" s="875" t="s">
        <v>202</v>
      </c>
      <c r="DV11" s="727"/>
      <c r="DW11" s="727"/>
      <c r="DX11" s="727"/>
      <c r="DY11" s="727"/>
      <c r="DZ11" s="967">
        <v>1329901.5614670862</v>
      </c>
      <c r="EA11" s="968">
        <v>2463632.9117169301</v>
      </c>
      <c r="EB11" s="968">
        <v>3594215.4151920588</v>
      </c>
      <c r="EC11" s="968">
        <v>7387749.8883760758</v>
      </c>
      <c r="EQ11" s="16"/>
      <c r="ER11" s="266"/>
      <c r="FG11" s="16"/>
      <c r="FH11" s="266"/>
      <c r="FJ11" s="222">
        <f t="shared" si="78"/>
        <v>6</v>
      </c>
      <c r="FK11" s="242"/>
      <c r="FL11" s="877" t="s">
        <v>203</v>
      </c>
      <c r="FM11" s="650">
        <v>49260.639999999992</v>
      </c>
      <c r="FN11" s="650">
        <v>32406.18</v>
      </c>
      <c r="FO11" s="650">
        <v>47183.22</v>
      </c>
      <c r="FP11" s="794">
        <f t="shared" si="21"/>
        <v>128850.03999999998</v>
      </c>
      <c r="FQ11" s="650">
        <v>49260.639999999992</v>
      </c>
      <c r="FR11" s="650">
        <v>32406.18</v>
      </c>
      <c r="FS11" s="650">
        <v>47183.22</v>
      </c>
      <c r="FT11" s="650">
        <v>128850.03999999998</v>
      </c>
      <c r="FU11" s="955">
        <v>128850.03999999998</v>
      </c>
      <c r="FV11" s="16"/>
      <c r="FW11" s="203"/>
      <c r="FY11" s="222">
        <v>6</v>
      </c>
      <c r="FZ11" s="969" t="s">
        <v>204</v>
      </c>
      <c r="GA11" s="650">
        <v>69215.070000000007</v>
      </c>
      <c r="GB11" s="650">
        <v>311010.10159999999</v>
      </c>
      <c r="GC11" s="650">
        <v>175816.9</v>
      </c>
      <c r="GD11" s="794">
        <f t="shared" si="1"/>
        <v>556042.07160000002</v>
      </c>
      <c r="GE11" s="650">
        <v>36325.46</v>
      </c>
      <c r="GF11" s="650">
        <v>74259.621599999984</v>
      </c>
      <c r="GG11" s="650">
        <v>30632.449999999986</v>
      </c>
      <c r="GH11" s="650">
        <f>SUM(GE11:GG11)</f>
        <v>141217.53159999996</v>
      </c>
      <c r="GI11" s="202"/>
      <c r="GJ11" s="203"/>
      <c r="GZ11" s="222">
        <v>6</v>
      </c>
      <c r="HA11" s="663">
        <v>6</v>
      </c>
      <c r="HB11" s="663">
        <v>10</v>
      </c>
      <c r="HC11" s="663">
        <v>10</v>
      </c>
      <c r="HD11" s="682">
        <v>31932119.545454547</v>
      </c>
      <c r="HE11" s="682">
        <v>32250691</v>
      </c>
      <c r="HF11" s="724">
        <f t="shared" si="22"/>
        <v>1</v>
      </c>
      <c r="HG11" s="724">
        <f t="shared" si="23"/>
        <v>1.0099765207909852</v>
      </c>
      <c r="HH11" s="723">
        <v>1</v>
      </c>
      <c r="HI11" s="723">
        <v>0</v>
      </c>
      <c r="HJ11" s="723">
        <v>0</v>
      </c>
      <c r="HN11" s="243">
        <v>6</v>
      </c>
      <c r="HO11" s="891">
        <v>6</v>
      </c>
      <c r="HP11" s="793">
        <f t="shared" si="2"/>
        <v>1.0099765207909852</v>
      </c>
      <c r="HQ11" s="650">
        <v>0</v>
      </c>
      <c r="HR11" s="794">
        <f t="shared" si="24"/>
        <v>0</v>
      </c>
      <c r="HS11" s="650">
        <v>3465446.1818181816</v>
      </c>
      <c r="HT11" s="975">
        <v>3489174</v>
      </c>
      <c r="HU11" s="650">
        <v>1496716.5628727272</v>
      </c>
      <c r="HV11" s="975">
        <v>1721487</v>
      </c>
      <c r="HW11" s="650">
        <v>225000</v>
      </c>
      <c r="HX11" s="955">
        <v>225000</v>
      </c>
      <c r="HY11" s="650">
        <f t="shared" si="25"/>
        <v>1721716.5628727272</v>
      </c>
      <c r="HZ11" s="650">
        <f t="shared" si="25"/>
        <v>1946487</v>
      </c>
      <c r="IA11" s="206"/>
      <c r="IB11" s="207"/>
      <c r="IC11" s="206"/>
      <c r="ID11" s="244">
        <v>6</v>
      </c>
      <c r="IE11" s="891">
        <v>6</v>
      </c>
      <c r="IF11" s="899">
        <f t="shared" si="3"/>
        <v>1</v>
      </c>
      <c r="IG11" s="900">
        <f t="shared" si="3"/>
        <v>1.0099765207909852</v>
      </c>
      <c r="IH11" s="955">
        <v>643151.33366376476</v>
      </c>
      <c r="II11" s="794">
        <f t="shared" si="64"/>
        <v>649567.74631581118</v>
      </c>
      <c r="IJ11" s="955">
        <v>48283.804000000004</v>
      </c>
      <c r="IK11" s="794">
        <f t="shared" si="26"/>
        <v>48765.508374473859</v>
      </c>
      <c r="IL11" s="955">
        <v>378134.38324532611</v>
      </c>
      <c r="IM11" s="794">
        <f t="shared" si="82"/>
        <v>378134.38324532611</v>
      </c>
      <c r="IN11" s="955">
        <v>592148.52086575574</v>
      </c>
      <c r="IO11" s="995">
        <v>592148.52086575574</v>
      </c>
      <c r="IP11" s="955">
        <v>65904.153500000029</v>
      </c>
      <c r="IQ11" s="794">
        <f t="shared" si="27"/>
        <v>66561.647657605063</v>
      </c>
      <c r="IR11" s="955">
        <v>59879.82918181819</v>
      </c>
      <c r="IS11" s="794">
        <f t="shared" si="28"/>
        <v>60477.221542611245</v>
      </c>
      <c r="IT11" s="955">
        <v>35609.333636363634</v>
      </c>
      <c r="IU11" s="794">
        <f t="shared" si="29"/>
        <v>35964.590893739944</v>
      </c>
      <c r="IV11" s="955">
        <v>189514.22679545454</v>
      </c>
      <c r="IW11" s="794">
        <f t="shared" si="30"/>
        <v>191404.91941926687</v>
      </c>
      <c r="IX11" s="650">
        <f t="shared" si="31"/>
        <v>2012625.5848884832</v>
      </c>
      <c r="IY11" s="650">
        <f t="shared" si="31"/>
        <v>2023024.5383145902</v>
      </c>
      <c r="IZ11" s="683">
        <f t="shared" si="4"/>
        <v>6.2728099013896799</v>
      </c>
      <c r="JD11" s="222">
        <v>6</v>
      </c>
      <c r="JE11" s="663">
        <v>6</v>
      </c>
      <c r="JF11" s="660">
        <f t="shared" si="5"/>
        <v>10</v>
      </c>
      <c r="JG11" s="660">
        <f t="shared" si="32"/>
        <v>10</v>
      </c>
      <c r="JH11" s="905">
        <f t="shared" si="6"/>
        <v>32250691</v>
      </c>
      <c r="JI11" s="905">
        <f t="shared" si="83"/>
        <v>32257731.620792881</v>
      </c>
      <c r="JJ11" s="906">
        <f t="shared" si="33"/>
        <v>1</v>
      </c>
      <c r="JK11" s="906">
        <f t="shared" si="34"/>
        <v>1.0002183091454655</v>
      </c>
      <c r="JL11" s="906">
        <f t="shared" si="35"/>
        <v>1.0441657448985928</v>
      </c>
      <c r="JM11" s="663" t="s">
        <v>425</v>
      </c>
      <c r="JN11" s="209"/>
      <c r="JO11" s="210"/>
      <c r="JP11" s="209"/>
      <c r="JQ11" s="222">
        <v>6</v>
      </c>
      <c r="JR11" s="663">
        <v>6</v>
      </c>
      <c r="JS11" s="914" t="str">
        <f t="shared" si="7"/>
        <v>Q2</v>
      </c>
      <c r="JT11" s="913">
        <f t="shared" si="8"/>
        <v>1.0441657448985928</v>
      </c>
      <c r="JU11" s="671">
        <f t="shared" si="36"/>
        <v>0</v>
      </c>
      <c r="JV11" s="671">
        <f t="shared" si="37"/>
        <v>0</v>
      </c>
      <c r="JW11" s="671">
        <f t="shared" si="9"/>
        <v>3489174</v>
      </c>
      <c r="JX11" s="671">
        <f t="shared" si="38"/>
        <v>3559573.8666448276</v>
      </c>
      <c r="JY11" s="671">
        <f t="shared" si="10"/>
        <v>1721487</v>
      </c>
      <c r="JZ11" s="671">
        <f t="shared" si="11"/>
        <v>1597687.5523811898</v>
      </c>
      <c r="KA11" s="671">
        <f t="shared" si="39"/>
        <v>225000</v>
      </c>
      <c r="KB11" s="671">
        <f t="shared" si="40"/>
        <v>69814.434300227003</v>
      </c>
      <c r="KC11" s="671">
        <f t="shared" si="41"/>
        <v>1946487</v>
      </c>
      <c r="KD11" s="671">
        <f t="shared" si="41"/>
        <v>1667501.9866814169</v>
      </c>
      <c r="KE11" s="211"/>
      <c r="KF11" s="210"/>
      <c r="KG11" s="209"/>
      <c r="KH11" s="245">
        <f t="shared" si="65"/>
        <v>6</v>
      </c>
      <c r="KI11" s="917">
        <v>5</v>
      </c>
      <c r="KJ11" s="918">
        <f t="shared" si="66"/>
        <v>1</v>
      </c>
      <c r="KK11" s="918">
        <f t="shared" si="66"/>
        <v>1.0002183091454655</v>
      </c>
      <c r="KL11" s="898">
        <v>1.6546666699999999</v>
      </c>
      <c r="KM11" s="801">
        <f t="shared" si="67"/>
        <v>371134.55204176623</v>
      </c>
      <c r="KN11" s="898">
        <v>1.6546666699999999</v>
      </c>
      <c r="KO11" s="801">
        <f t="shared" si="42"/>
        <v>28013.490054356014</v>
      </c>
      <c r="KP11" s="898">
        <v>1.6546666699999999</v>
      </c>
      <c r="KQ11" s="801">
        <f t="shared" si="43"/>
        <v>450499.46725239768</v>
      </c>
      <c r="KR11" s="898">
        <v>1.6546666699999999</v>
      </c>
      <c r="KS11" s="801">
        <f t="shared" si="68"/>
        <v>427821.13104839704</v>
      </c>
      <c r="KT11" s="898">
        <v>1.6546666699999999</v>
      </c>
      <c r="KU11" s="801">
        <f t="shared" si="44"/>
        <v>95314.383442448932</v>
      </c>
      <c r="KV11" s="898">
        <v>1.6546666699999999</v>
      </c>
      <c r="KW11" s="801">
        <f t="shared" si="45"/>
        <v>56016.610742815668</v>
      </c>
      <c r="KX11" s="898">
        <v>1.6546666699999999</v>
      </c>
      <c r="KY11" s="801">
        <f t="shared" si="46"/>
        <v>39613.705954395802</v>
      </c>
      <c r="KZ11" s="898">
        <v>1.6546666699999999</v>
      </c>
      <c r="LA11" s="919">
        <f t="shared" si="47"/>
        <v>229144.26939481558</v>
      </c>
      <c r="LB11" s="646">
        <f t="shared" si="48"/>
        <v>1639641.2309258883</v>
      </c>
      <c r="LC11" s="646">
        <f t="shared" si="79"/>
        <v>1697557.6099313928</v>
      </c>
      <c r="LD11" s="16"/>
      <c r="LE11" s="220"/>
      <c r="LG11" s="222">
        <v>6</v>
      </c>
      <c r="LH11" s="922">
        <v>6</v>
      </c>
      <c r="LI11" s="650">
        <f t="shared" si="12"/>
        <v>1721716.5628727272</v>
      </c>
      <c r="LJ11" s="650">
        <f t="shared" si="12"/>
        <v>1946487</v>
      </c>
      <c r="LK11" s="794">
        <f t="shared" si="13"/>
        <v>1667501.9866814169</v>
      </c>
      <c r="LL11" s="650">
        <f t="shared" si="14"/>
        <v>2012625.5848884832</v>
      </c>
      <c r="LM11" s="650">
        <f t="shared" si="14"/>
        <v>2023024.5383145902</v>
      </c>
      <c r="LN11" s="794">
        <f t="shared" si="49"/>
        <v>2112372.9239973859</v>
      </c>
      <c r="LO11" s="650">
        <f t="shared" si="50"/>
        <v>-290909.022015756</v>
      </c>
      <c r="LP11" s="650">
        <f>LJ11-LM11</f>
        <v>-76537.538314590231</v>
      </c>
      <c r="LQ11" s="650">
        <f t="shared" si="50"/>
        <v>-444870.93731596903</v>
      </c>
      <c r="LU11" s="222">
        <f>LU10+1</f>
        <v>6</v>
      </c>
      <c r="LV11" s="812" t="s">
        <v>205</v>
      </c>
      <c r="LW11" s="925">
        <v>5.3900000000000003E-2</v>
      </c>
      <c r="MA11" s="192">
        <f>MA10+1</f>
        <v>5</v>
      </c>
      <c r="MB11" s="814" t="s">
        <v>44</v>
      </c>
      <c r="MC11" s="860">
        <f>'ABDA 3 month Phase II'!II4*'ABDA 3 month Phase II'!IH4</f>
        <v>4749598.8</v>
      </c>
      <c r="MD11" s="928">
        <f t="shared" si="51"/>
        <v>0.2164269798042017</v>
      </c>
      <c r="ME11" s="796"/>
      <c r="MF11" s="798">
        <f>MC11</f>
        <v>4749598.8</v>
      </c>
      <c r="MG11" s="928">
        <f t="shared" si="52"/>
        <v>0.2164269798042017</v>
      </c>
      <c r="MK11" s="192">
        <f t="shared" si="81"/>
        <v>5</v>
      </c>
      <c r="ML11" s="814" t="str">
        <f t="shared" si="53"/>
        <v>Depot Viability Handling Commissions</v>
      </c>
      <c r="MM11" s="979">
        <v>4758928.0499999989</v>
      </c>
      <c r="MN11" s="860">
        <f>MF11</f>
        <v>4749598.8</v>
      </c>
      <c r="MO11" s="860">
        <f t="shared" si="70"/>
        <v>-9329.2499999990687</v>
      </c>
      <c r="MP11" s="802">
        <f t="shared" si="71"/>
        <v>-1.9603679446254857E-3</v>
      </c>
    </row>
    <row r="12" spans="1:405" s="29" customFormat="1" ht="17.100000000000001" customHeight="1" thickBot="1" x14ac:dyDescent="0.35">
      <c r="B12" s="181">
        <f>B11+1</f>
        <v>7</v>
      </c>
      <c r="C12" s="803" t="s">
        <v>206</v>
      </c>
      <c r="D12" s="804"/>
      <c r="E12" s="797"/>
      <c r="F12" s="798">
        <f>F9+F10+F11</f>
        <v>111375540.52939449</v>
      </c>
      <c r="G12" s="799">
        <f t="shared" si="15"/>
        <v>5.3531156494630183</v>
      </c>
      <c r="H12" s="798">
        <f>H9+H10+H11</f>
        <v>106354818.26747276</v>
      </c>
      <c r="I12" s="800">
        <f t="shared" si="16"/>
        <v>5.0850234832362764</v>
      </c>
      <c r="J12" s="801">
        <f t="shared" si="54"/>
        <v>-5020722.2619217336</v>
      </c>
      <c r="K12" s="798">
        <f>K9+K10+K11</f>
        <v>129005962.21597157</v>
      </c>
      <c r="L12" s="800">
        <f t="shared" si="17"/>
        <v>5.8797526333010612</v>
      </c>
      <c r="M12" s="801">
        <f t="shared" si="55"/>
        <v>22651143.948498815</v>
      </c>
      <c r="N12" s="798">
        <f>N9+N10+N11</f>
        <v>113778536.89574721</v>
      </c>
      <c r="O12" s="800">
        <f t="shared" si="18"/>
        <v>5.1845947718547301</v>
      </c>
      <c r="P12" s="801">
        <f t="shared" si="56"/>
        <v>-15227425.32022436</v>
      </c>
      <c r="Q12" s="798">
        <f t="shared" si="57"/>
        <v>2402996.366352722</v>
      </c>
      <c r="R12" s="802">
        <f t="shared" si="58"/>
        <v>-3.1480896106773404E-2</v>
      </c>
      <c r="S12" s="12"/>
      <c r="T12" s="13"/>
      <c r="U12" s="12"/>
      <c r="V12" s="165">
        <f t="shared" si="59"/>
        <v>5</v>
      </c>
      <c r="W12" s="808" t="s">
        <v>132</v>
      </c>
      <c r="X12" s="650">
        <f>X10-X7</f>
        <v>-2643133.7078647274</v>
      </c>
      <c r="Y12" s="650">
        <f t="shared" ref="Y12:AA12" si="84">Y10-Y7</f>
        <v>-2061160.729802558</v>
      </c>
      <c r="Z12" s="650">
        <f t="shared" si="84"/>
        <v>2614500.5078417864</v>
      </c>
      <c r="AA12" s="650">
        <f t="shared" si="84"/>
        <v>-2089793.9298254987</v>
      </c>
      <c r="AB12" s="230"/>
      <c r="AC12" s="234"/>
      <c r="AD12" s="13"/>
      <c r="AE12" s="12"/>
      <c r="AF12" s="252">
        <f t="shared" si="73"/>
        <v>6</v>
      </c>
      <c r="AG12" s="814" t="s">
        <v>180</v>
      </c>
      <c r="AH12" s="815">
        <f>AH11*3600/$H$24</f>
        <v>3.0340096397324476</v>
      </c>
      <c r="AI12" s="815">
        <f>AI11*3600/$H$24</f>
        <v>0.14866349755423783</v>
      </c>
      <c r="AJ12" s="815">
        <f>AJ11*3600/$H$24</f>
        <v>0.98121096889176984</v>
      </c>
      <c r="AK12" s="12"/>
      <c r="AL12" s="299"/>
      <c r="AM12" s="12"/>
      <c r="AN12" s="192">
        <v>7</v>
      </c>
      <c r="AO12" s="193"/>
      <c r="AP12" s="191" t="s">
        <v>207</v>
      </c>
      <c r="AQ12" s="7"/>
      <c r="AR12" s="195"/>
      <c r="AS12" s="255"/>
      <c r="AT12" s="256"/>
      <c r="AU12" s="257"/>
      <c r="AV12" s="255"/>
      <c r="AW12" s="256"/>
      <c r="AX12" s="250"/>
      <c r="AY12" s="257"/>
      <c r="AZ12" s="255"/>
      <c r="BA12" s="300"/>
      <c r="BB12" s="250"/>
      <c r="BC12" s="257"/>
      <c r="BD12" s="255"/>
      <c r="BE12" s="300"/>
      <c r="BF12" s="250"/>
      <c r="BG12" s="257"/>
      <c r="BH12" s="255"/>
      <c r="BI12" s="300"/>
      <c r="BJ12" s="250"/>
      <c r="BK12" s="257"/>
      <c r="BL12" s="255"/>
      <c r="BM12" s="300"/>
      <c r="BN12" s="250"/>
      <c r="BO12" s="257"/>
      <c r="BP12" s="255"/>
      <c r="BQ12" s="300"/>
      <c r="BR12" s="250"/>
      <c r="BS12" s="257"/>
      <c r="BW12" s="258"/>
      <c r="BX12" s="259"/>
      <c r="BY12" s="260"/>
      <c r="BZ12" s="260"/>
      <c r="CA12" s="260"/>
      <c r="CB12" s="260"/>
      <c r="CC12" s="958"/>
      <c r="CD12" s="958"/>
      <c r="CE12" s="301"/>
      <c r="CF12" s="247"/>
      <c r="CG12" s="260"/>
      <c r="CH12" s="301"/>
      <c r="CI12" s="262"/>
      <c r="CJ12" s="301"/>
      <c r="CK12" s="12"/>
      <c r="CL12" s="13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232"/>
      <c r="CY12" s="20"/>
      <c r="CZ12" s="12"/>
      <c r="DA12" s="12"/>
      <c r="DB12" s="12"/>
      <c r="DC12" s="12"/>
      <c r="DD12" s="12"/>
      <c r="DE12" s="12"/>
      <c r="DF12" s="12"/>
      <c r="DG12" s="12"/>
      <c r="DH12" s="12"/>
      <c r="DI12" s="20"/>
      <c r="DJ12" s="12"/>
      <c r="DK12" s="12"/>
      <c r="DL12" s="12"/>
      <c r="DM12" s="12"/>
      <c r="DN12" s="12"/>
      <c r="DO12" s="12"/>
      <c r="DP12" s="12"/>
      <c r="DQ12" s="12"/>
      <c r="DR12" s="13"/>
      <c r="DS12" s="12"/>
      <c r="DT12" s="302">
        <v>7</v>
      </c>
      <c r="DU12" s="303" t="s">
        <v>71</v>
      </c>
      <c r="DV12" s="304">
        <f t="shared" ref="DV12:EC12" si="85">SUM(DV7:DV11)</f>
        <v>3987595.5110999998</v>
      </c>
      <c r="DW12" s="304">
        <f t="shared" si="85"/>
        <v>7161030.7631999999</v>
      </c>
      <c r="DX12" s="304">
        <f t="shared" si="85"/>
        <v>14640317.082199998</v>
      </c>
      <c r="DY12" s="305">
        <f t="shared" si="85"/>
        <v>25788943.3565</v>
      </c>
      <c r="DZ12" s="304">
        <f t="shared" si="85"/>
        <v>4518233.5472997567</v>
      </c>
      <c r="EA12" s="304">
        <f t="shared" si="85"/>
        <v>7797060.9032192249</v>
      </c>
      <c r="EB12" s="304">
        <f t="shared" si="85"/>
        <v>10788534.636658216</v>
      </c>
      <c r="EC12" s="304">
        <f t="shared" si="85"/>
        <v>23103829.087177198</v>
      </c>
      <c r="ED12" s="12"/>
      <c r="EE12" s="13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6"/>
      <c r="ER12" s="266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6"/>
      <c r="FH12" s="266"/>
      <c r="FI12" s="12"/>
      <c r="FJ12" s="192">
        <f t="shared" si="78"/>
        <v>7</v>
      </c>
      <c r="FK12" s="265"/>
      <c r="FL12" s="878" t="s">
        <v>208</v>
      </c>
      <c r="FM12" s="860">
        <v>156010.497</v>
      </c>
      <c r="FN12" s="860">
        <v>388247.39</v>
      </c>
      <c r="FO12" s="860">
        <v>395682.24947999994</v>
      </c>
      <c r="FP12" s="801">
        <f t="shared" si="21"/>
        <v>939940.13647999999</v>
      </c>
      <c r="FQ12" s="860">
        <v>156830.33790909091</v>
      </c>
      <c r="FR12" s="860">
        <v>388247.39</v>
      </c>
      <c r="FS12" s="860">
        <v>400882.74947999994</v>
      </c>
      <c r="FT12" s="860">
        <v>945960.47738909081</v>
      </c>
      <c r="FU12" s="955">
        <v>945960.47738909081</v>
      </c>
      <c r="FV12" s="16"/>
      <c r="FW12" s="266"/>
      <c r="FX12" s="12"/>
      <c r="FY12" s="302">
        <v>7</v>
      </c>
      <c r="FZ12" s="306" t="s">
        <v>88</v>
      </c>
      <c r="GA12" s="304">
        <f t="shared" ref="GA12:GH12" si="86">SUM(GA6:GA11)</f>
        <v>203809.78099999999</v>
      </c>
      <c r="GB12" s="304">
        <f t="shared" si="86"/>
        <v>466245.03159999999</v>
      </c>
      <c r="GC12" s="304">
        <f t="shared" si="86"/>
        <v>446450.19000000006</v>
      </c>
      <c r="GD12" s="305">
        <f t="shared" si="86"/>
        <v>1116505.0026</v>
      </c>
      <c r="GE12" s="304">
        <f t="shared" si="86"/>
        <v>39789.800999999999</v>
      </c>
      <c r="GF12" s="304">
        <f t="shared" si="86"/>
        <v>148024.76159999997</v>
      </c>
      <c r="GG12" s="304">
        <f t="shared" si="86"/>
        <v>126816.28999999998</v>
      </c>
      <c r="GH12" s="305">
        <f t="shared" si="86"/>
        <v>314630.85259999998</v>
      </c>
      <c r="GI12" s="16"/>
      <c r="GJ12" s="203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3"/>
      <c r="GX12" s="12"/>
      <c r="GY12" s="12"/>
      <c r="GZ12" s="192">
        <v>7</v>
      </c>
      <c r="HA12" s="886">
        <v>7</v>
      </c>
      <c r="HB12" s="886">
        <v>10</v>
      </c>
      <c r="HC12" s="886">
        <v>12</v>
      </c>
      <c r="HD12" s="887">
        <v>38020664</v>
      </c>
      <c r="HE12" s="887">
        <v>45023413</v>
      </c>
      <c r="HF12" s="800">
        <f t="shared" si="22"/>
        <v>1.2</v>
      </c>
      <c r="HG12" s="800">
        <f t="shared" si="23"/>
        <v>1.1841827118011405</v>
      </c>
      <c r="HH12" s="802">
        <v>1</v>
      </c>
      <c r="HI12" s="802">
        <v>0</v>
      </c>
      <c r="HJ12" s="802">
        <v>0</v>
      </c>
      <c r="HK12" s="12"/>
      <c r="HL12" s="13"/>
      <c r="HM12" s="12"/>
      <c r="HN12" s="267">
        <v>7</v>
      </c>
      <c r="HO12" s="892">
        <v>7</v>
      </c>
      <c r="HP12" s="799">
        <f t="shared" si="2"/>
        <v>1.1841827118011405</v>
      </c>
      <c r="HQ12" s="860">
        <v>2625.0909999999994</v>
      </c>
      <c r="HR12" s="801">
        <f t="shared" si="24"/>
        <v>3108.587379104767</v>
      </c>
      <c r="HS12" s="860">
        <v>4131025</v>
      </c>
      <c r="HT12" s="975">
        <v>4886341</v>
      </c>
      <c r="HU12" s="860">
        <v>1932272.8392</v>
      </c>
      <c r="HV12" s="975">
        <v>2550044</v>
      </c>
      <c r="HW12" s="860">
        <v>225000</v>
      </c>
      <c r="HX12" s="955">
        <v>270000</v>
      </c>
      <c r="HY12" s="860">
        <f t="shared" si="25"/>
        <v>2159897.9302000003</v>
      </c>
      <c r="HZ12" s="860">
        <f t="shared" si="25"/>
        <v>2823152.5873791049</v>
      </c>
      <c r="IA12" s="206"/>
      <c r="IB12" s="207"/>
      <c r="IC12" s="206"/>
      <c r="ID12" s="208">
        <v>7</v>
      </c>
      <c r="IE12" s="892">
        <v>7</v>
      </c>
      <c r="IF12" s="896">
        <f t="shared" si="3"/>
        <v>1.2</v>
      </c>
      <c r="IG12" s="897">
        <f t="shared" si="3"/>
        <v>1.1841827118011405</v>
      </c>
      <c r="IH12" s="955">
        <v>713038.95958031644</v>
      </c>
      <c r="II12" s="801">
        <f t="shared" si="64"/>
        <v>844368.40877568291</v>
      </c>
      <c r="IJ12" s="955">
        <v>87337.3</v>
      </c>
      <c r="IK12" s="801">
        <f t="shared" si="26"/>
        <v>103423.32075538975</v>
      </c>
      <c r="IL12" s="955">
        <v>425618.89441968338</v>
      </c>
      <c r="IM12" s="801">
        <f t="shared" si="82"/>
        <v>510742.67330362002</v>
      </c>
      <c r="IN12" s="955">
        <v>522406.19132917118</v>
      </c>
      <c r="IO12" s="995">
        <v>674140.55331500247</v>
      </c>
      <c r="IP12" s="955">
        <v>178194.31999999995</v>
      </c>
      <c r="IQ12" s="801">
        <f t="shared" si="27"/>
        <v>211014.63308516017</v>
      </c>
      <c r="IR12" s="955">
        <v>66471.787500000006</v>
      </c>
      <c r="IS12" s="801">
        <f t="shared" si="28"/>
        <v>78714.741580019167</v>
      </c>
      <c r="IT12" s="955">
        <v>59926.53</v>
      </c>
      <c r="IU12" s="801">
        <f t="shared" si="29"/>
        <v>70963.960804232396</v>
      </c>
      <c r="IV12" s="955">
        <v>219294.0816</v>
      </c>
      <c r="IW12" s="801">
        <f t="shared" si="30"/>
        <v>259684.2602310286</v>
      </c>
      <c r="IX12" s="860">
        <f t="shared" si="31"/>
        <v>2272288.0644291709</v>
      </c>
      <c r="IY12" s="860">
        <f t="shared" si="31"/>
        <v>2753052.5518501359</v>
      </c>
      <c r="IZ12" s="898">
        <f t="shared" si="4"/>
        <v>6.1147131423602552</v>
      </c>
      <c r="JA12" s="12"/>
      <c r="JB12" s="13"/>
      <c r="JC12" s="12"/>
      <c r="JD12" s="192">
        <v>7</v>
      </c>
      <c r="JE12" s="886">
        <v>7</v>
      </c>
      <c r="JF12" s="796">
        <f t="shared" si="5"/>
        <v>12</v>
      </c>
      <c r="JG12" s="796">
        <f t="shared" si="32"/>
        <v>12</v>
      </c>
      <c r="JH12" s="859">
        <f t="shared" si="6"/>
        <v>45023413</v>
      </c>
      <c r="JI12" s="859">
        <f t="shared" si="83"/>
        <v>45033242.022817969</v>
      </c>
      <c r="JJ12" s="904">
        <f t="shared" si="33"/>
        <v>1</v>
      </c>
      <c r="JK12" s="904">
        <f t="shared" si="34"/>
        <v>1.0002183091454655</v>
      </c>
      <c r="JL12" s="904">
        <f t="shared" si="35"/>
        <v>1.0303606708574313</v>
      </c>
      <c r="JM12" s="886" t="s">
        <v>238</v>
      </c>
      <c r="JN12" s="209"/>
      <c r="JO12" s="210"/>
      <c r="JP12" s="209"/>
      <c r="JQ12" s="192">
        <v>7</v>
      </c>
      <c r="JR12" s="886">
        <v>7</v>
      </c>
      <c r="JS12" s="910" t="str">
        <f t="shared" si="7"/>
        <v>Q3</v>
      </c>
      <c r="JT12" s="911">
        <f t="shared" si="8"/>
        <v>1.0303606708574313</v>
      </c>
      <c r="JU12" s="860">
        <f t="shared" si="36"/>
        <v>3108.587379104767</v>
      </c>
      <c r="JV12" s="860">
        <f t="shared" si="37"/>
        <v>3202.9661773533321</v>
      </c>
      <c r="JW12" s="860">
        <f t="shared" si="9"/>
        <v>4886341</v>
      </c>
      <c r="JX12" s="860">
        <f t="shared" si="38"/>
        <v>4969324.976694515</v>
      </c>
      <c r="JY12" s="860">
        <f t="shared" si="10"/>
        <v>2550044</v>
      </c>
      <c r="JZ12" s="860">
        <f t="shared" si="11"/>
        <v>2230443.5745521681</v>
      </c>
      <c r="KA12" s="860">
        <f t="shared" si="39"/>
        <v>270000</v>
      </c>
      <c r="KB12" s="860">
        <f t="shared" si="40"/>
        <v>97464.085617901525</v>
      </c>
      <c r="KC12" s="860">
        <f t="shared" si="41"/>
        <v>2823152.5873791049</v>
      </c>
      <c r="KD12" s="860">
        <f t="shared" si="41"/>
        <v>2331110.6263474226</v>
      </c>
      <c r="KE12" s="211"/>
      <c r="KF12" s="210"/>
      <c r="KG12" s="209"/>
      <c r="KH12" s="243">
        <f t="shared" si="65"/>
        <v>7</v>
      </c>
      <c r="KI12" s="891">
        <v>6</v>
      </c>
      <c r="KJ12" s="920">
        <f t="shared" si="66"/>
        <v>1</v>
      </c>
      <c r="KK12" s="920">
        <f t="shared" si="66"/>
        <v>1.0002183091454655</v>
      </c>
      <c r="KL12" s="683">
        <v>1.6406666700000001</v>
      </c>
      <c r="KM12" s="794">
        <f t="shared" si="67"/>
        <v>678327.39874643623</v>
      </c>
      <c r="KN12" s="683">
        <v>1.6406666700000001</v>
      </c>
      <c r="KO12" s="794">
        <f t="shared" si="42"/>
        <v>50924.604295426092</v>
      </c>
      <c r="KP12" s="683">
        <v>1.6406666700000001</v>
      </c>
      <c r="KQ12" s="794">
        <f t="shared" si="43"/>
        <v>394790.12032423163</v>
      </c>
      <c r="KR12" s="683">
        <v>1.6406666700000001</v>
      </c>
      <c r="KS12" s="794">
        <f t="shared" si="68"/>
        <v>618230.96803852217</v>
      </c>
      <c r="KT12" s="683">
        <v>1.6406666700000001</v>
      </c>
      <c r="KU12" s="794">
        <f t="shared" si="44"/>
        <v>69508.668753864593</v>
      </c>
      <c r="KV12" s="683">
        <v>1.6406666700000001</v>
      </c>
      <c r="KW12" s="794">
        <f t="shared" si="45"/>
        <v>63154.854293621931</v>
      </c>
      <c r="KX12" s="683">
        <v>1.6406666700000001</v>
      </c>
      <c r="KY12" s="794">
        <f t="shared" si="46"/>
        <v>37556.92539584545</v>
      </c>
      <c r="KZ12" s="683">
        <v>1.6406666700000001</v>
      </c>
      <c r="LA12" s="794">
        <f t="shared" si="47"/>
        <v>199879.38414943774</v>
      </c>
      <c r="LB12" s="650">
        <f t="shared" si="48"/>
        <v>2023024.5383145902</v>
      </c>
      <c r="LC12" s="650">
        <f t="shared" si="79"/>
        <v>2112372.9239973859</v>
      </c>
      <c r="LD12" s="16"/>
      <c r="LE12" s="220"/>
      <c r="LF12" s="12"/>
      <c r="LG12" s="192">
        <v>7</v>
      </c>
      <c r="LH12" s="921">
        <v>7</v>
      </c>
      <c r="LI12" s="860">
        <f t="shared" si="12"/>
        <v>2159897.9302000003</v>
      </c>
      <c r="LJ12" s="860">
        <f t="shared" si="12"/>
        <v>2823152.5873791049</v>
      </c>
      <c r="LK12" s="801">
        <f t="shared" si="13"/>
        <v>2331110.6263474226</v>
      </c>
      <c r="LL12" s="860">
        <f t="shared" si="14"/>
        <v>2272288.0644291709</v>
      </c>
      <c r="LM12" s="860">
        <f t="shared" si="14"/>
        <v>2753052.5518501359</v>
      </c>
      <c r="LN12" s="801">
        <f t="shared" si="49"/>
        <v>2836637.0742300693</v>
      </c>
      <c r="LO12" s="860">
        <f t="shared" si="50"/>
        <v>-112390.13422917062</v>
      </c>
      <c r="LP12" s="860">
        <f>LJ12-LM12</f>
        <v>70100.03552896902</v>
      </c>
      <c r="LQ12" s="860">
        <f t="shared" si="50"/>
        <v>-505526.44788264669</v>
      </c>
      <c r="LR12" s="12"/>
      <c r="LS12" s="13"/>
      <c r="LT12" s="12"/>
      <c r="LU12" s="192">
        <f t="shared" si="69"/>
        <v>7</v>
      </c>
      <c r="LV12" s="926" t="s">
        <v>209</v>
      </c>
      <c r="LW12" s="924">
        <f>LW9/(1-LW11)</f>
        <v>372118407.71066558</v>
      </c>
      <c r="LX12" s="12"/>
      <c r="LY12" s="13"/>
      <c r="LZ12" s="12"/>
      <c r="MA12" s="222">
        <f>MA11+1</f>
        <v>6</v>
      </c>
      <c r="MB12" s="833" t="s">
        <v>206</v>
      </c>
      <c r="MC12" s="929">
        <f>N12</f>
        <v>113778536.89574721</v>
      </c>
      <c r="MD12" s="930">
        <f t="shared" si="51"/>
        <v>5.1845947718547301</v>
      </c>
      <c r="ME12" s="839"/>
      <c r="MF12" s="931">
        <f>MF9+MF10+MF11</f>
        <v>129954334.69356655</v>
      </c>
      <c r="MG12" s="930">
        <f t="shared" si="52"/>
        <v>5.9216841999776904</v>
      </c>
      <c r="MH12" s="12"/>
      <c r="MI12" s="13"/>
      <c r="MJ12" s="12"/>
      <c r="MK12" s="222">
        <f t="shared" si="81"/>
        <v>6</v>
      </c>
      <c r="ML12" s="833" t="str">
        <f t="shared" si="53"/>
        <v>Net Revenue</v>
      </c>
      <c r="MM12" s="980">
        <v>136637688.37609816</v>
      </c>
      <c r="MN12" s="929">
        <f>MC12</f>
        <v>113778536.89574721</v>
      </c>
      <c r="MO12" s="929">
        <f t="shared" si="70"/>
        <v>-22859151.480350941</v>
      </c>
      <c r="MP12" s="940">
        <f t="shared" si="71"/>
        <v>-0.16729755715297701</v>
      </c>
      <c r="MQ12" s="12"/>
      <c r="MR12" s="13"/>
      <c r="MS12" s="12"/>
    </row>
    <row r="13" spans="1:405" ht="16.5" x14ac:dyDescent="0.3">
      <c r="B13" s="143">
        <f t="shared" si="72"/>
        <v>8</v>
      </c>
      <c r="C13" s="307" t="s">
        <v>207</v>
      </c>
      <c r="D13" s="5"/>
      <c r="E13" s="308"/>
      <c r="F13" s="225"/>
      <c r="G13" s="226"/>
      <c r="H13" s="225"/>
      <c r="I13" s="227"/>
      <c r="J13" s="228"/>
      <c r="K13" s="225"/>
      <c r="L13" s="227"/>
      <c r="M13" s="228"/>
      <c r="N13" s="225"/>
      <c r="O13" s="227"/>
      <c r="P13" s="228"/>
      <c r="Q13" s="225"/>
      <c r="R13" s="229"/>
      <c r="V13" s="185"/>
      <c r="W13" s="186" t="s">
        <v>25</v>
      </c>
      <c r="X13" s="269"/>
      <c r="Y13" s="270"/>
      <c r="Z13" s="270"/>
      <c r="AA13" s="270"/>
      <c r="AB13" s="189"/>
      <c r="AC13" s="236"/>
      <c r="AF13" s="271">
        <f t="shared" si="73"/>
        <v>7</v>
      </c>
      <c r="AG13" s="816" t="s">
        <v>187</v>
      </c>
      <c r="AH13" s="818">
        <f>IH26/AH11</f>
        <v>20.884539615581581</v>
      </c>
      <c r="AI13" s="818">
        <f>IJ26/AI11</f>
        <v>20.908056285798974</v>
      </c>
      <c r="AJ13" s="818">
        <f>IL26/AJ11</f>
        <v>31.509468342655907</v>
      </c>
      <c r="AL13" s="299"/>
      <c r="AN13" s="222">
        <v>8</v>
      </c>
      <c r="AO13" s="18"/>
      <c r="AQ13" s="660" t="s">
        <v>46</v>
      </c>
      <c r="AR13" s="791"/>
      <c r="AS13" s="821">
        <v>12784699.6164</v>
      </c>
      <c r="AT13" s="822">
        <v>1.2467034624748656</v>
      </c>
      <c r="AU13" s="783"/>
      <c r="AV13" s="821">
        <v>13940512.122199997</v>
      </c>
      <c r="AW13" s="822">
        <v>1.2917708159017343</v>
      </c>
      <c r="AX13" s="823">
        <f t="shared" ref="AX13:AX20" si="87">AW13/AT13-1</f>
        <v>3.6149216540559026E-2</v>
      </c>
      <c r="AY13" s="783"/>
      <c r="AZ13" s="821">
        <v>16686157.735618668</v>
      </c>
      <c r="BA13" s="822">
        <v>1.2933634349589591</v>
      </c>
      <c r="BB13" s="823">
        <f t="shared" ref="BB13:BB20" si="88">BA13/AW13-1</f>
        <v>1.2328959886844792E-3</v>
      </c>
      <c r="BC13" s="783"/>
      <c r="BD13" s="821">
        <v>19121063.134010617</v>
      </c>
      <c r="BE13" s="822">
        <v>1.3002123037527811</v>
      </c>
      <c r="BF13" s="823">
        <f t="shared" ref="BF13:BF20" si="89">BE13/BA13-1</f>
        <v>5.2953938612307905E-3</v>
      </c>
      <c r="BG13" s="783"/>
      <c r="BH13" s="821">
        <v>21345531.913160004</v>
      </c>
      <c r="BI13" s="822">
        <v>1.4046426840756656</v>
      </c>
      <c r="BJ13" s="823">
        <f t="shared" ref="BJ13:BJ20" si="90">BI13/BE13-1</f>
        <v>8.0317945016724401E-2</v>
      </c>
      <c r="BK13" s="783"/>
      <c r="BL13" s="821">
        <v>23918047.727200001</v>
      </c>
      <c r="BM13" s="822">
        <v>1.4218898216681388</v>
      </c>
      <c r="BN13" s="823">
        <f t="shared" ref="BN13:BN20" si="91">BM13/BI13-1</f>
        <v>1.2278665448517856E-2</v>
      </c>
      <c r="BO13" s="783"/>
      <c r="BP13" s="821">
        <v>28535397.766300008</v>
      </c>
      <c r="BQ13" s="822">
        <v>1.5384698585450844</v>
      </c>
      <c r="BR13" s="823">
        <f t="shared" ref="BR13:BR20" si="92">BQ13/BM13-1</f>
        <v>8.1989500944718685E-2</v>
      </c>
      <c r="BS13" s="783"/>
      <c r="BT13" s="660">
        <v>32304174</v>
      </c>
      <c r="BU13" s="660">
        <v>1.65</v>
      </c>
      <c r="BV13" s="660">
        <f t="shared" ref="BV13:BV20" si="93">BU13/BQ13-1</f>
        <v>7.2494199893125222E-2</v>
      </c>
      <c r="BW13" s="237">
        <v>36103152.515199989</v>
      </c>
      <c r="BX13" s="238">
        <v>1.8651083200592218</v>
      </c>
      <c r="BY13" s="824">
        <f t="shared" si="60"/>
        <v>0.13036867882377079</v>
      </c>
      <c r="BZ13" s="824">
        <v>36687111.743471108</v>
      </c>
      <c r="CA13" s="824">
        <v>1.7984785294214409</v>
      </c>
      <c r="CB13" s="824">
        <f t="shared" si="61"/>
        <v>-3.5724354409434667E-2</v>
      </c>
      <c r="CC13" s="956">
        <v>37593268.407299995</v>
      </c>
      <c r="CD13" s="956">
        <v>1.8087697778034015</v>
      </c>
      <c r="CE13" s="723">
        <f>CD13/CA13-1</f>
        <v>5.722196964603965E-3</v>
      </c>
      <c r="CF13" s="792">
        <f t="shared" ref="CF13:CG16" si="94">F14</f>
        <v>38001297.827399999</v>
      </c>
      <c r="CG13" s="824">
        <f t="shared" si="94"/>
        <v>1.8264813004078884</v>
      </c>
      <c r="CH13" s="723">
        <f t="shared" ref="CH13:CH20" si="95">CG13/CD13-1</f>
        <v>9.7920270571947299E-3</v>
      </c>
      <c r="CI13" s="825">
        <f t="shared" si="63"/>
        <v>1.9724044340199098</v>
      </c>
      <c r="CJ13" s="723">
        <f t="shared" ref="CJ13:CJ23" si="96">(CI13+1)^(1/(2022-2004))-1</f>
        <v>6.2389506119690852E-2</v>
      </c>
      <c r="DD13" s="12"/>
      <c r="DN13" s="12"/>
      <c r="DU13" s="12"/>
      <c r="DV13" s="12"/>
      <c r="DW13" s="12"/>
      <c r="DX13" s="12"/>
      <c r="DY13" s="12"/>
      <c r="EE13" s="264"/>
      <c r="EQ13" s="16"/>
      <c r="ER13" s="266"/>
      <c r="FG13" s="16"/>
      <c r="FH13" s="266"/>
      <c r="FJ13" s="222">
        <f t="shared" si="78"/>
        <v>8</v>
      </c>
      <c r="FK13" s="242"/>
      <c r="FL13" s="877" t="s">
        <v>210</v>
      </c>
      <c r="FM13" s="650">
        <v>287774.28249999997</v>
      </c>
      <c r="FN13" s="650">
        <v>432005.11000000004</v>
      </c>
      <c r="FO13" s="650">
        <v>632877.02193000005</v>
      </c>
      <c r="FP13" s="794">
        <f t="shared" si="21"/>
        <v>1352656.4144300001</v>
      </c>
      <c r="FQ13" s="650">
        <v>289211.55522727268</v>
      </c>
      <c r="FR13" s="650">
        <v>432005.11000000004</v>
      </c>
      <c r="FS13" s="650">
        <v>644764.52193000005</v>
      </c>
      <c r="FT13" s="650">
        <v>1365981.1871572728</v>
      </c>
      <c r="FU13" s="955">
        <v>1365981.1871572728</v>
      </c>
      <c r="FV13" s="16"/>
      <c r="FW13" s="266"/>
      <c r="GJ13" s="203"/>
      <c r="GZ13" s="222">
        <v>8</v>
      </c>
      <c r="HA13" s="663">
        <v>8</v>
      </c>
      <c r="HB13" s="663">
        <v>10</v>
      </c>
      <c r="HC13" s="663">
        <v>10</v>
      </c>
      <c r="HD13" s="682">
        <v>43550832</v>
      </c>
      <c r="HE13" s="682">
        <v>44757820</v>
      </c>
      <c r="HF13" s="724">
        <f t="shared" si="22"/>
        <v>1</v>
      </c>
      <c r="HG13" s="724">
        <f t="shared" si="23"/>
        <v>1.0277144647890999</v>
      </c>
      <c r="HH13" s="723">
        <v>1</v>
      </c>
      <c r="HI13" s="723">
        <v>0</v>
      </c>
      <c r="HJ13" s="723">
        <v>0</v>
      </c>
      <c r="HN13" s="243">
        <v>8</v>
      </c>
      <c r="HO13" s="891">
        <v>8</v>
      </c>
      <c r="HP13" s="793">
        <f t="shared" si="2"/>
        <v>1.0277144647890999</v>
      </c>
      <c r="HQ13" s="650">
        <v>0</v>
      </c>
      <c r="HR13" s="794">
        <f t="shared" si="24"/>
        <v>0</v>
      </c>
      <c r="HS13" s="650">
        <v>4712143</v>
      </c>
      <c r="HT13" s="975">
        <v>4843043</v>
      </c>
      <c r="HU13" s="650">
        <v>2193241.5596000003</v>
      </c>
      <c r="HV13" s="975">
        <v>2385075</v>
      </c>
      <c r="HW13" s="650">
        <v>225000</v>
      </c>
      <c r="HX13" s="955">
        <v>225000</v>
      </c>
      <c r="HY13" s="650">
        <f t="shared" si="25"/>
        <v>2418241.5596000003</v>
      </c>
      <c r="HZ13" s="650">
        <f t="shared" si="25"/>
        <v>2610075</v>
      </c>
      <c r="IA13" s="206"/>
      <c r="IB13" s="207"/>
      <c r="IC13" s="206"/>
      <c r="ID13" s="244">
        <v>8</v>
      </c>
      <c r="IE13" s="891">
        <v>8</v>
      </c>
      <c r="IF13" s="899">
        <f t="shared" si="3"/>
        <v>1</v>
      </c>
      <c r="IG13" s="900">
        <f t="shared" si="3"/>
        <v>1.0277144647890999</v>
      </c>
      <c r="IH13" s="955">
        <v>669480.85743452248</v>
      </c>
      <c r="II13" s="794">
        <f t="shared" si="64"/>
        <v>688035.1610848679</v>
      </c>
      <c r="IJ13" s="955">
        <v>51713</v>
      </c>
      <c r="IK13" s="794">
        <f>IJ13*$IG13</f>
        <v>53146.19811763872</v>
      </c>
      <c r="IL13" s="955">
        <v>554229.39256547752</v>
      </c>
      <c r="IM13" s="794">
        <f t="shared" si="82"/>
        <v>554229.39256547752</v>
      </c>
      <c r="IN13" s="955">
        <v>529630.91050901939</v>
      </c>
      <c r="IO13" s="995">
        <v>529630.91050901939</v>
      </c>
      <c r="IP13" s="955">
        <v>32619.339000000007</v>
      </c>
      <c r="IQ13" s="794">
        <f t="shared" si="27"/>
        <v>33523.366522159224</v>
      </c>
      <c r="IR13" s="955">
        <v>100134.73700000002</v>
      </c>
      <c r="IS13" s="794">
        <f t="shared" si="28"/>
        <v>102909.91764275231</v>
      </c>
      <c r="IT13" s="955">
        <v>14399.843999999999</v>
      </c>
      <c r="IU13" s="794">
        <f t="shared" si="29"/>
        <v>14798.927969506531</v>
      </c>
      <c r="IV13" s="955">
        <v>322924.64970000001</v>
      </c>
      <c r="IW13" s="794">
        <f t="shared" si="30"/>
        <v>331874.3335336431</v>
      </c>
      <c r="IX13" s="650">
        <f t="shared" si="31"/>
        <v>2275132.7302090195</v>
      </c>
      <c r="IY13" s="650">
        <f t="shared" si="31"/>
        <v>2308148.2079450646</v>
      </c>
      <c r="IZ13" s="683">
        <f t="shared" si="4"/>
        <v>5.1569719167400576</v>
      </c>
      <c r="JD13" s="222">
        <v>8</v>
      </c>
      <c r="JE13" s="663">
        <v>8</v>
      </c>
      <c r="JF13" s="660">
        <f t="shared" si="5"/>
        <v>10</v>
      </c>
      <c r="JG13" s="660">
        <f t="shared" si="32"/>
        <v>10</v>
      </c>
      <c r="JH13" s="905">
        <f t="shared" si="6"/>
        <v>44757820</v>
      </c>
      <c r="JI13" s="905">
        <f t="shared" si="83"/>
        <v>44767591.041437097</v>
      </c>
      <c r="JJ13" s="906">
        <f t="shared" si="33"/>
        <v>1</v>
      </c>
      <c r="JK13" s="906">
        <f t="shared" si="34"/>
        <v>1.0002183091454655</v>
      </c>
      <c r="JL13" s="906">
        <f t="shared" si="35"/>
        <v>1.0353334125143732</v>
      </c>
      <c r="JM13" s="663" t="s">
        <v>424</v>
      </c>
      <c r="JN13" s="209"/>
      <c r="JO13" s="210"/>
      <c r="JP13" s="209"/>
      <c r="JQ13" s="222">
        <v>8</v>
      </c>
      <c r="JR13" s="663">
        <v>8</v>
      </c>
      <c r="JS13" s="914" t="str">
        <f t="shared" si="7"/>
        <v>Q4</v>
      </c>
      <c r="JT13" s="913">
        <f t="shared" si="8"/>
        <v>1.0353334125143732</v>
      </c>
      <c r="JU13" s="671">
        <f t="shared" si="36"/>
        <v>0</v>
      </c>
      <c r="JV13" s="671">
        <f t="shared" si="37"/>
        <v>0</v>
      </c>
      <c r="JW13" s="671">
        <f t="shared" si="9"/>
        <v>4843043</v>
      </c>
      <c r="JX13" s="671">
        <f t="shared" si="38"/>
        <v>4940010.9411607096</v>
      </c>
      <c r="JY13" s="671">
        <f t="shared" si="10"/>
        <v>2385075</v>
      </c>
      <c r="JZ13" s="671">
        <f t="shared" si="11"/>
        <v>2217286.1935180821</v>
      </c>
      <c r="KA13" s="671">
        <f t="shared" si="39"/>
        <v>225000</v>
      </c>
      <c r="KB13" s="671">
        <f t="shared" si="40"/>
        <v>96889.145222078689</v>
      </c>
      <c r="KC13" s="671">
        <f t="shared" si="41"/>
        <v>2610075</v>
      </c>
      <c r="KD13" s="671">
        <f t="shared" si="41"/>
        <v>2314175.3387401607</v>
      </c>
      <c r="KE13" s="211"/>
      <c r="KF13" s="210"/>
      <c r="KG13" s="209"/>
      <c r="KH13" s="245">
        <f t="shared" si="65"/>
        <v>8</v>
      </c>
      <c r="KI13" s="917">
        <v>7</v>
      </c>
      <c r="KJ13" s="918">
        <f t="shared" si="66"/>
        <v>1</v>
      </c>
      <c r="KK13" s="918">
        <f t="shared" si="66"/>
        <v>1.0002183091454655</v>
      </c>
      <c r="KL13" s="898">
        <v>1.6626666699999999</v>
      </c>
      <c r="KM13" s="801">
        <f t="shared" si="67"/>
        <v>870085.73364153167</v>
      </c>
      <c r="KN13" s="898">
        <v>1.6626666699999999</v>
      </c>
      <c r="KO13" s="801">
        <f t="shared" si="42"/>
        <v>106573.33336946642</v>
      </c>
      <c r="KP13" s="898">
        <v>1.6626666699999999</v>
      </c>
      <c r="KQ13" s="801">
        <f t="shared" si="43"/>
        <v>526183.7318615996</v>
      </c>
      <c r="KR13" s="898">
        <v>1.6626666699999999</v>
      </c>
      <c r="KS13" s="801">
        <f t="shared" si="68"/>
        <v>694521.54809798126</v>
      </c>
      <c r="KT13" s="898">
        <v>1.6626666699999999</v>
      </c>
      <c r="KU13" s="801">
        <f t="shared" si="44"/>
        <v>217441.60478862267</v>
      </c>
      <c r="KV13" s="898">
        <v>1.6626666699999999</v>
      </c>
      <c r="KW13" s="801">
        <f t="shared" si="45"/>
        <v>81112.193403068697</v>
      </c>
      <c r="KX13" s="898">
        <v>1.6626666699999999</v>
      </c>
      <c r="KY13" s="801">
        <f t="shared" si="46"/>
        <v>73125.343459957323</v>
      </c>
      <c r="KZ13" s="898">
        <v>1.6626666699999999</v>
      </c>
      <c r="LA13" s="919">
        <f t="shared" si="47"/>
        <v>267593.58560784196</v>
      </c>
      <c r="LB13" s="646">
        <f t="shared" si="48"/>
        <v>2753052.5518501359</v>
      </c>
      <c r="LC13" s="646">
        <f t="shared" si="79"/>
        <v>2836637.0742300693</v>
      </c>
      <c r="LD13" s="16"/>
      <c r="LE13" s="220"/>
      <c r="LG13" s="222">
        <v>8</v>
      </c>
      <c r="LH13" s="922">
        <v>8</v>
      </c>
      <c r="LI13" s="650">
        <f t="shared" si="12"/>
        <v>2418241.5596000003</v>
      </c>
      <c r="LJ13" s="650">
        <f t="shared" si="12"/>
        <v>2610075</v>
      </c>
      <c r="LK13" s="794">
        <f t="shared" si="13"/>
        <v>2314175.3387401607</v>
      </c>
      <c r="LL13" s="650">
        <f t="shared" si="14"/>
        <v>2275132.7302090195</v>
      </c>
      <c r="LM13" s="650">
        <f t="shared" si="14"/>
        <v>2308148.2079450646</v>
      </c>
      <c r="LN13" s="794">
        <f t="shared" si="49"/>
        <v>2389702.9607206988</v>
      </c>
      <c r="LO13" s="650">
        <f t="shared" si="50"/>
        <v>143108.82939098077</v>
      </c>
      <c r="LP13" s="650">
        <f t="shared" si="50"/>
        <v>301926.79205493536</v>
      </c>
      <c r="LQ13" s="650">
        <f t="shared" si="50"/>
        <v>-75527.621980538126</v>
      </c>
      <c r="LU13" s="222">
        <f t="shared" si="69"/>
        <v>8</v>
      </c>
      <c r="LV13" s="927" t="s">
        <v>211</v>
      </c>
      <c r="LW13" s="309">
        <f>LW12-LW9</f>
        <v>20057182.17560488</v>
      </c>
      <c r="MA13" s="192">
        <f t="shared" si="80"/>
        <v>7</v>
      </c>
      <c r="MB13" s="194" t="s">
        <v>207</v>
      </c>
      <c r="MC13" s="197"/>
      <c r="MD13" s="246"/>
      <c r="ME13" s="29"/>
      <c r="MF13" s="247"/>
      <c r="MG13" s="246"/>
      <c r="MK13" s="192">
        <f t="shared" si="81"/>
        <v>7</v>
      </c>
      <c r="ML13" s="194" t="str">
        <f t="shared" si="53"/>
        <v>Expenses</v>
      </c>
      <c r="MM13" s="249"/>
      <c r="MN13" s="197"/>
      <c r="MO13" s="197"/>
      <c r="MP13" s="261"/>
    </row>
    <row r="14" spans="1:405" s="29" customFormat="1" ht="16.5" x14ac:dyDescent="0.3">
      <c r="B14" s="181">
        <f t="shared" si="72"/>
        <v>9</v>
      </c>
      <c r="C14" s="251"/>
      <c r="D14" s="796" t="s">
        <v>46</v>
      </c>
      <c r="E14" s="797"/>
      <c r="F14" s="798">
        <f>CS9</f>
        <v>38001297.827399999</v>
      </c>
      <c r="G14" s="799">
        <f t="shared" ref="G14:G22" si="97">F14/F$24*100</f>
        <v>1.8264813004078884</v>
      </c>
      <c r="H14" s="798">
        <f>CW9</f>
        <v>36813199.8476827</v>
      </c>
      <c r="I14" s="800">
        <f t="shared" ref="I14:I22" si="98">H14/H$24*100</f>
        <v>1.7601081809735752</v>
      </c>
      <c r="J14" s="801">
        <f t="shared" si="54"/>
        <v>-1188097.9797172993</v>
      </c>
      <c r="K14" s="798">
        <f>II26</f>
        <v>38759425.026482746</v>
      </c>
      <c r="L14" s="800">
        <f t="shared" ref="L14:L22" si="99">K14/K$24*100</f>
        <v>1.7665527038445854</v>
      </c>
      <c r="M14" s="801">
        <f t="shared" si="55"/>
        <v>1946225.1788000464</v>
      </c>
      <c r="N14" s="798">
        <f>KM27</f>
        <v>40079129.41740948</v>
      </c>
      <c r="O14" s="800">
        <f t="shared" ref="O14:O22" si="100">N14/N$24*100</f>
        <v>1.8263026622357383</v>
      </c>
      <c r="P14" s="801">
        <f t="shared" si="56"/>
        <v>1319704.3909267336</v>
      </c>
      <c r="Q14" s="798">
        <f t="shared" si="57"/>
        <v>2077831.5900094807</v>
      </c>
      <c r="R14" s="802">
        <f t="shared" si="58"/>
        <v>-9.7804544787916115E-5</v>
      </c>
      <c r="S14" s="12"/>
      <c r="T14" s="13"/>
      <c r="U14" s="12"/>
      <c r="V14" s="165">
        <f>V12+1</f>
        <v>6</v>
      </c>
      <c r="W14" s="805" t="s">
        <v>172</v>
      </c>
      <c r="X14" s="650">
        <f>SUMPRODUCT($LP$6:$LP$25,HH6:HH25)</f>
        <v>20160.815973906778</v>
      </c>
      <c r="Y14" s="650">
        <f>SUMPRODUCT($LP$6:$LP$25,HI6:HI25)</f>
        <v>6169011.8022504635</v>
      </c>
      <c r="Z14" s="650">
        <f>SUMPRODUCT($LP$6:$LP$25,HJ6:HJ25)</f>
        <v>16392300.707405737</v>
      </c>
      <c r="AA14" s="650">
        <f>SUM(X14:Z14)</f>
        <v>22581473.325630106</v>
      </c>
      <c r="AB14" s="230" t="s">
        <v>430</v>
      </c>
      <c r="AC14" s="12"/>
      <c r="AD14" s="13"/>
      <c r="AE14" s="12"/>
      <c r="AF14" s="252">
        <f t="shared" si="73"/>
        <v>8</v>
      </c>
      <c r="AG14" s="191" t="s">
        <v>25</v>
      </c>
      <c r="AK14" s="12"/>
      <c r="AL14" s="299"/>
      <c r="AM14" s="12"/>
      <c r="AN14" s="192">
        <v>9</v>
      </c>
      <c r="AO14" s="254"/>
      <c r="AQ14" s="796" t="s">
        <v>212</v>
      </c>
      <c r="AR14" s="797"/>
      <c r="AS14" s="827">
        <v>936011.74</v>
      </c>
      <c r="AT14" s="828">
        <v>9.1275439563570718E-2</v>
      </c>
      <c r="AU14" s="829"/>
      <c r="AV14" s="827">
        <v>1523068.1600000001</v>
      </c>
      <c r="AW14" s="828">
        <v>0.14113218958319465</v>
      </c>
      <c r="AX14" s="830">
        <f t="shared" si="87"/>
        <v>0.54622306129679221</v>
      </c>
      <c r="AY14" s="829"/>
      <c r="AZ14" s="827">
        <v>2211207.06</v>
      </c>
      <c r="BA14" s="828">
        <v>0.17139322328365042</v>
      </c>
      <c r="BB14" s="830">
        <f t="shared" si="88"/>
        <v>0.2144162418922686</v>
      </c>
      <c r="BC14" s="829"/>
      <c r="BD14" s="827">
        <v>2871478.9273906099</v>
      </c>
      <c r="BE14" s="828">
        <v>0.19525756518837487</v>
      </c>
      <c r="BF14" s="830">
        <f t="shared" si="89"/>
        <v>0.13923737151048088</v>
      </c>
      <c r="BG14" s="829"/>
      <c r="BH14" s="827">
        <v>3068616.0090000001</v>
      </c>
      <c r="BI14" s="828">
        <v>0.20193027022305846</v>
      </c>
      <c r="BJ14" s="830">
        <f t="shared" si="90"/>
        <v>3.4173861731022326E-2</v>
      </c>
      <c r="BK14" s="829"/>
      <c r="BL14" s="827">
        <v>3403828.76</v>
      </c>
      <c r="BM14" s="828">
        <v>0.20235219545286309</v>
      </c>
      <c r="BN14" s="830">
        <f t="shared" si="91"/>
        <v>2.0894600365688465E-3</v>
      </c>
      <c r="BO14" s="829"/>
      <c r="BP14" s="827">
        <v>4538272.1100000003</v>
      </c>
      <c r="BQ14" s="828">
        <v>0.24467837835281422</v>
      </c>
      <c r="BR14" s="830">
        <f t="shared" si="92"/>
        <v>0.20917086076197666</v>
      </c>
      <c r="BS14" s="829"/>
      <c r="BT14" s="796">
        <v>5378012</v>
      </c>
      <c r="BU14" s="796">
        <v>0.27</v>
      </c>
      <c r="BV14" s="796">
        <f t="shared" si="93"/>
        <v>0.10348941258174138</v>
      </c>
      <c r="BW14" s="258">
        <v>1768561.8457999995</v>
      </c>
      <c r="BX14" s="259">
        <v>9.1364858283556505E-2</v>
      </c>
      <c r="BY14" s="831">
        <f t="shared" si="60"/>
        <v>-0.66161163598682782</v>
      </c>
      <c r="BZ14" s="831">
        <v>1718931.8145400002</v>
      </c>
      <c r="CA14" s="831">
        <v>8.4265613047061122E-2</v>
      </c>
      <c r="CB14" s="831">
        <f t="shared" si="61"/>
        <v>-7.7702142485269743E-2</v>
      </c>
      <c r="CC14" s="956">
        <v>2147244.1196499998</v>
      </c>
      <c r="CD14" s="956">
        <v>0.10331291834244472</v>
      </c>
      <c r="CE14" s="802">
        <f t="shared" ref="CE14:CE20" si="101">CD14/CA14-1</f>
        <v>0.22603888593020671</v>
      </c>
      <c r="CF14" s="798">
        <f t="shared" si="94"/>
        <v>1804966.5518499999</v>
      </c>
      <c r="CG14" s="831">
        <f t="shared" si="94"/>
        <v>8.6753291158353285E-2</v>
      </c>
      <c r="CH14" s="802">
        <f t="shared" si="95"/>
        <v>-0.16028612345652937</v>
      </c>
      <c r="CI14" s="832">
        <f t="shared" si="63"/>
        <v>0.92835888132129618</v>
      </c>
      <c r="CJ14" s="802">
        <f t="shared" si="96"/>
        <v>3.7155250184706556E-2</v>
      </c>
      <c r="CK14" s="12"/>
      <c r="CL14" s="13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3"/>
      <c r="CZ14" s="12"/>
      <c r="DA14" s="12"/>
      <c r="DB14" s="12"/>
      <c r="DC14" s="12"/>
      <c r="DD14" s="12"/>
      <c r="DE14" s="12"/>
      <c r="DF14" s="12"/>
      <c r="DG14" s="12"/>
      <c r="DH14" s="12"/>
      <c r="DI14" s="13"/>
      <c r="DJ14" s="12"/>
      <c r="DK14" s="12"/>
      <c r="DL14" s="12"/>
      <c r="DM14" s="12"/>
      <c r="DN14" s="12"/>
      <c r="DO14" s="12"/>
      <c r="DP14" s="12"/>
      <c r="DQ14" s="12"/>
      <c r="DR14" s="13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3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6"/>
      <c r="ER14" s="266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6"/>
      <c r="FH14" s="266"/>
      <c r="FI14" s="12"/>
      <c r="FJ14" s="192">
        <f t="shared" si="78"/>
        <v>9</v>
      </c>
      <c r="FK14" s="265"/>
      <c r="FL14" s="878" t="s">
        <v>213</v>
      </c>
      <c r="FM14" s="860">
        <v>2536</v>
      </c>
      <c r="FN14" s="860">
        <v>11058.939999999999</v>
      </c>
      <c r="FO14" s="860">
        <v>30774.82</v>
      </c>
      <c r="FP14" s="801">
        <f t="shared" si="21"/>
        <v>44369.759999999995</v>
      </c>
      <c r="FQ14" s="860">
        <v>2536</v>
      </c>
      <c r="FR14" s="860">
        <v>11058.939999999999</v>
      </c>
      <c r="FS14" s="860">
        <v>30774.82</v>
      </c>
      <c r="FT14" s="860">
        <v>44369.759999999995</v>
      </c>
      <c r="FU14" s="955">
        <v>44369.759999999995</v>
      </c>
      <c r="FV14" s="16"/>
      <c r="FW14" s="266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5"/>
      <c r="GJ14" s="266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290"/>
      <c r="GX14" s="12"/>
      <c r="GY14" s="12"/>
      <c r="GZ14" s="192">
        <v>9</v>
      </c>
      <c r="HA14" s="886">
        <v>9</v>
      </c>
      <c r="HB14" s="886">
        <v>11</v>
      </c>
      <c r="HC14" s="886">
        <v>11</v>
      </c>
      <c r="HD14" s="887">
        <v>57378324</v>
      </c>
      <c r="HE14" s="887">
        <v>59003223</v>
      </c>
      <c r="HF14" s="800">
        <f t="shared" si="22"/>
        <v>1</v>
      </c>
      <c r="HG14" s="800">
        <f t="shared" si="23"/>
        <v>1.0283190390852128</v>
      </c>
      <c r="HH14" s="802">
        <v>1</v>
      </c>
      <c r="HI14" s="802">
        <v>0</v>
      </c>
      <c r="HJ14" s="802">
        <v>0</v>
      </c>
      <c r="HK14" s="12"/>
      <c r="HL14" s="13"/>
      <c r="HM14" s="12"/>
      <c r="HN14" s="267">
        <v>9</v>
      </c>
      <c r="HO14" s="892">
        <v>9</v>
      </c>
      <c r="HP14" s="799">
        <f t="shared" si="2"/>
        <v>1.0283190390852128</v>
      </c>
      <c r="HQ14" s="860">
        <v>0</v>
      </c>
      <c r="HR14" s="801">
        <f t="shared" si="24"/>
        <v>0</v>
      </c>
      <c r="HS14" s="860">
        <v>6247804</v>
      </c>
      <c r="HT14" s="975">
        <v>6429726</v>
      </c>
      <c r="HU14" s="860">
        <v>2769420.5663999999</v>
      </c>
      <c r="HV14" s="975">
        <v>3218850</v>
      </c>
      <c r="HW14" s="860">
        <v>247500</v>
      </c>
      <c r="HX14" s="955">
        <v>247500</v>
      </c>
      <c r="HY14" s="860">
        <f t="shared" si="25"/>
        <v>3016920.5663999999</v>
      </c>
      <c r="HZ14" s="860">
        <f t="shared" si="25"/>
        <v>3466350</v>
      </c>
      <c r="IA14" s="206"/>
      <c r="IB14" s="207"/>
      <c r="IC14" s="206"/>
      <c r="ID14" s="208">
        <v>9</v>
      </c>
      <c r="IE14" s="892">
        <v>9</v>
      </c>
      <c r="IF14" s="896">
        <f t="shared" si="3"/>
        <v>1</v>
      </c>
      <c r="IG14" s="897">
        <f t="shared" si="3"/>
        <v>1.0283190390852128</v>
      </c>
      <c r="IH14" s="955">
        <v>785780.35668281571</v>
      </c>
      <c r="II14" s="801">
        <f t="shared" si="64"/>
        <v>808032.90131610888</v>
      </c>
      <c r="IJ14" s="955">
        <v>102327.17</v>
      </c>
      <c r="IK14" s="801">
        <f t="shared" si="26"/>
        <v>105224.97712670921</v>
      </c>
      <c r="IL14" s="955">
        <v>563972.59331718413</v>
      </c>
      <c r="IM14" s="801">
        <f t="shared" si="82"/>
        <v>563972.59331718413</v>
      </c>
      <c r="IN14" s="955">
        <v>665395.07612386486</v>
      </c>
      <c r="IO14" s="995">
        <v>665395.07612386486</v>
      </c>
      <c r="IP14" s="955">
        <v>66175.421999999991</v>
      </c>
      <c r="IQ14" s="801">
        <f t="shared" si="27"/>
        <v>68049.446362098446</v>
      </c>
      <c r="IR14" s="955">
        <v>70327.29800000001</v>
      </c>
      <c r="IS14" s="801">
        <f t="shared" si="28"/>
        <v>72318.899500819418</v>
      </c>
      <c r="IT14" s="955">
        <v>69709.170000000013</v>
      </c>
      <c r="IU14" s="801">
        <f t="shared" si="29"/>
        <v>71683.26670982776</v>
      </c>
      <c r="IV14" s="955">
        <v>823991.9706</v>
      </c>
      <c r="IW14" s="801">
        <f t="shared" si="30"/>
        <v>847326.63142132293</v>
      </c>
      <c r="IX14" s="860">
        <f t="shared" si="31"/>
        <v>3147679.0567238643</v>
      </c>
      <c r="IY14" s="860">
        <f t="shared" si="31"/>
        <v>3202003.7918779361</v>
      </c>
      <c r="IZ14" s="898">
        <f t="shared" si="4"/>
        <v>5.4268286189687229</v>
      </c>
      <c r="JA14" s="12"/>
      <c r="JB14" s="13"/>
      <c r="JC14" s="12"/>
      <c r="JD14" s="192">
        <v>9</v>
      </c>
      <c r="JE14" s="886">
        <v>9</v>
      </c>
      <c r="JF14" s="796">
        <f t="shared" si="5"/>
        <v>11</v>
      </c>
      <c r="JG14" s="796">
        <f t="shared" si="32"/>
        <v>11</v>
      </c>
      <c r="JH14" s="859">
        <f t="shared" si="6"/>
        <v>59003223</v>
      </c>
      <c r="JI14" s="859">
        <f t="shared" si="83"/>
        <v>59016103.94319284</v>
      </c>
      <c r="JJ14" s="904">
        <f t="shared" si="33"/>
        <v>1</v>
      </c>
      <c r="JK14" s="904">
        <f t="shared" si="34"/>
        <v>1.0002183091454655</v>
      </c>
      <c r="JL14" s="904">
        <f t="shared" si="35"/>
        <v>1.0303711183181881</v>
      </c>
      <c r="JM14" s="886" t="s">
        <v>238</v>
      </c>
      <c r="JN14" s="209"/>
      <c r="JO14" s="210"/>
      <c r="JP14" s="209"/>
      <c r="JQ14" s="192">
        <v>9</v>
      </c>
      <c r="JR14" s="886">
        <v>9</v>
      </c>
      <c r="JS14" s="910" t="str">
        <f t="shared" si="7"/>
        <v>Q3</v>
      </c>
      <c r="JT14" s="911">
        <f t="shared" si="8"/>
        <v>1.0303711183181881</v>
      </c>
      <c r="JU14" s="860">
        <f t="shared" si="36"/>
        <v>0</v>
      </c>
      <c r="JV14" s="860">
        <f t="shared" si="37"/>
        <v>0</v>
      </c>
      <c r="JW14" s="860">
        <f t="shared" si="9"/>
        <v>6429726</v>
      </c>
      <c r="JX14" s="860">
        <f t="shared" si="38"/>
        <v>6512304.8259219332</v>
      </c>
      <c r="JY14" s="860">
        <f t="shared" si="10"/>
        <v>3218850</v>
      </c>
      <c r="JZ14" s="860">
        <f t="shared" si="11"/>
        <v>2922998.2990898248</v>
      </c>
      <c r="KA14" s="860">
        <f t="shared" si="39"/>
        <v>247500</v>
      </c>
      <c r="KB14" s="860">
        <f t="shared" si="40"/>
        <v>127726.77136236065</v>
      </c>
      <c r="KC14" s="860">
        <f t="shared" si="41"/>
        <v>3466350</v>
      </c>
      <c r="KD14" s="860">
        <f t="shared" si="41"/>
        <v>3050725.0704521853</v>
      </c>
      <c r="KE14" s="211"/>
      <c r="KF14" s="210"/>
      <c r="KG14" s="209"/>
      <c r="KH14" s="243">
        <f t="shared" si="65"/>
        <v>9</v>
      </c>
      <c r="KI14" s="891">
        <v>8</v>
      </c>
      <c r="KJ14" s="920">
        <f t="shared" si="66"/>
        <v>1</v>
      </c>
      <c r="KK14" s="920">
        <f t="shared" si="66"/>
        <v>1.0002183091454655</v>
      </c>
      <c r="KL14" s="683">
        <v>1.6546666699999999</v>
      </c>
      <c r="KM14" s="794">
        <f t="shared" si="67"/>
        <v>712418.80794300151</v>
      </c>
      <c r="KN14" s="683">
        <v>1.6546666699999999</v>
      </c>
      <c r="KO14" s="794">
        <f t="shared" si="42"/>
        <v>55029.674718906572</v>
      </c>
      <c r="KP14" s="683">
        <v>1.6546666699999999</v>
      </c>
      <c r="KQ14" s="794">
        <f t="shared" si="43"/>
        <v>573745.77112461848</v>
      </c>
      <c r="KR14" s="683">
        <v>1.6546666699999999</v>
      </c>
      <c r="KS14" s="794">
        <f t="shared" si="68"/>
        <v>548281.08945075667</v>
      </c>
      <c r="KT14" s="683">
        <v>1.6546666699999999</v>
      </c>
      <c r="KU14" s="794">
        <f t="shared" si="44"/>
        <v>34711.419076745573</v>
      </c>
      <c r="KV14" s="683">
        <v>1.6546666699999999</v>
      </c>
      <c r="KW14" s="794">
        <f t="shared" si="45"/>
        <v>106556.99737345079</v>
      </c>
      <c r="KX14" s="683">
        <v>1.6546666699999999</v>
      </c>
      <c r="KY14" s="794">
        <f t="shared" si="46"/>
        <v>15323.395109991656</v>
      </c>
      <c r="KZ14" s="683">
        <v>1.6546666699999999</v>
      </c>
      <c r="LA14" s="794">
        <f t="shared" si="47"/>
        <v>343635.80592322734</v>
      </c>
      <c r="LB14" s="650">
        <f t="shared" si="48"/>
        <v>2308148.2079450646</v>
      </c>
      <c r="LC14" s="650">
        <f t="shared" si="79"/>
        <v>2389702.9607206988</v>
      </c>
      <c r="LD14" s="16"/>
      <c r="LE14" s="220"/>
      <c r="LF14" s="12"/>
      <c r="LG14" s="192">
        <v>9</v>
      </c>
      <c r="LH14" s="921">
        <v>9</v>
      </c>
      <c r="LI14" s="860">
        <f t="shared" si="12"/>
        <v>3016920.5663999999</v>
      </c>
      <c r="LJ14" s="860">
        <f t="shared" si="12"/>
        <v>3466350</v>
      </c>
      <c r="LK14" s="801">
        <f t="shared" si="13"/>
        <v>3050725.0704521853</v>
      </c>
      <c r="LL14" s="860">
        <f t="shared" si="14"/>
        <v>3147679.0567238643</v>
      </c>
      <c r="LM14" s="860">
        <f t="shared" si="14"/>
        <v>3202003.7918779361</v>
      </c>
      <c r="LN14" s="801">
        <f t="shared" si="49"/>
        <v>3299252.2278963476</v>
      </c>
      <c r="LO14" s="860">
        <f t="shared" si="50"/>
        <v>-130758.49032386439</v>
      </c>
      <c r="LP14" s="860">
        <f t="shared" si="50"/>
        <v>264346.20812206389</v>
      </c>
      <c r="LQ14" s="860">
        <f t="shared" si="50"/>
        <v>-248527.15744416229</v>
      </c>
      <c r="LR14" s="12"/>
      <c r="LS14" s="13"/>
      <c r="LT14" s="12"/>
      <c r="LU14" s="5"/>
      <c r="LV14" s="12"/>
      <c r="LW14" s="12"/>
      <c r="LX14" s="12"/>
      <c r="LY14" s="13"/>
      <c r="LZ14" s="12"/>
      <c r="MA14" s="222">
        <f t="shared" si="80"/>
        <v>8</v>
      </c>
      <c r="MB14" s="812" t="s">
        <v>46</v>
      </c>
      <c r="MC14" s="650">
        <f t="shared" ref="MC14:MC21" si="102">N14</f>
        <v>40079129.41740948</v>
      </c>
      <c r="MD14" s="747">
        <f t="shared" ref="MD14:MD21" si="103">MC14/$MC$34*100</f>
        <v>1.8263026622357383</v>
      </c>
      <c r="ME14" s="660"/>
      <c r="MF14" s="792">
        <f t="shared" ref="MF14:MF20" si="104">MC14</f>
        <v>40079129.41740948</v>
      </c>
      <c r="MG14" s="747">
        <f t="shared" ref="MG14:MG21" si="105">MF14/$MG$34*100</f>
        <v>1.8263026622357383</v>
      </c>
      <c r="MH14" s="12"/>
      <c r="MI14" s="13"/>
      <c r="MJ14" s="12"/>
      <c r="MK14" s="222">
        <f t="shared" si="81"/>
        <v>8</v>
      </c>
      <c r="ML14" s="231" t="str">
        <f t="shared" si="53"/>
        <v>Direct Labour</v>
      </c>
      <c r="MM14" s="979">
        <v>33580635.97480382</v>
      </c>
      <c r="MN14" s="650">
        <f t="shared" ref="MN14:MN21" si="106">MC14</f>
        <v>40079129.41740948</v>
      </c>
      <c r="MO14" s="650">
        <f t="shared" si="70"/>
        <v>6498493.4426056594</v>
      </c>
      <c r="MP14" s="823">
        <f t="shared" si="71"/>
        <v>0.19351906996286791</v>
      </c>
      <c r="MQ14" s="12"/>
      <c r="MR14" s="13"/>
      <c r="MS14" s="12"/>
    </row>
    <row r="15" spans="1:405" ht="16.5" x14ac:dyDescent="0.3">
      <c r="B15" s="143">
        <f t="shared" si="72"/>
        <v>10</v>
      </c>
      <c r="C15" s="223"/>
      <c r="D15" s="660" t="s">
        <v>47</v>
      </c>
      <c r="E15" s="791"/>
      <c r="F15" s="792">
        <f>DD9</f>
        <v>1804966.5518499999</v>
      </c>
      <c r="G15" s="793">
        <f t="shared" si="97"/>
        <v>8.6753291158353285E-2</v>
      </c>
      <c r="H15" s="792">
        <f>DG9</f>
        <v>1805841.8473045453</v>
      </c>
      <c r="I15" s="724">
        <f t="shared" si="98"/>
        <v>8.6340688180770606E-2</v>
      </c>
      <c r="J15" s="794">
        <f t="shared" si="54"/>
        <v>875.29545454541221</v>
      </c>
      <c r="K15" s="792">
        <f>IK26</f>
        <v>1927835.2228029165</v>
      </c>
      <c r="L15" s="724">
        <f t="shared" si="99"/>
        <v>8.7865661657323263E-2</v>
      </c>
      <c r="M15" s="794">
        <f t="shared" si="55"/>
        <v>121993.3754983712</v>
      </c>
      <c r="N15" s="792">
        <f>KO27</f>
        <v>1994337.7399035022</v>
      </c>
      <c r="O15" s="724">
        <f t="shared" si="100"/>
        <v>9.0876832324627621E-2</v>
      </c>
      <c r="P15" s="794">
        <f t="shared" si="56"/>
        <v>66502.517100585625</v>
      </c>
      <c r="Q15" s="792">
        <f t="shared" si="57"/>
        <v>189371.18805350224</v>
      </c>
      <c r="R15" s="723">
        <f t="shared" si="58"/>
        <v>4.7531812467466183E-2</v>
      </c>
      <c r="V15" s="252">
        <f t="shared" si="59"/>
        <v>7</v>
      </c>
      <c r="W15" s="806" t="s">
        <v>179</v>
      </c>
      <c r="X15" s="800">
        <f>X14/K$24*100</f>
        <v>9.1887699433321679E-4</v>
      </c>
      <c r="Y15" s="800">
        <f>Y14/K$24*100</f>
        <v>0.28116734115298747</v>
      </c>
      <c r="Z15" s="800">
        <f>Z14/K$24*100</f>
        <v>0.74711797497293575</v>
      </c>
      <c r="AA15" s="800">
        <f>AA14/K$24*100</f>
        <v>1.0292041931202562</v>
      </c>
      <c r="AB15" s="227"/>
      <c r="AC15" s="233"/>
      <c r="AF15" s="165">
        <f t="shared" si="73"/>
        <v>9</v>
      </c>
      <c r="AG15" s="812" t="s">
        <v>77</v>
      </c>
      <c r="AH15" s="813">
        <f>AH11*II27</f>
        <v>1855890.8043902982</v>
      </c>
      <c r="AI15" s="813">
        <f>AI11*IK27</f>
        <v>92205.377508588761</v>
      </c>
      <c r="AJ15" s="813">
        <f>AJ11*IM27</f>
        <v>590454.85823481809</v>
      </c>
      <c r="AL15" s="299"/>
      <c r="AN15" s="222">
        <v>10</v>
      </c>
      <c r="AO15" s="18"/>
      <c r="AQ15" s="660" t="s">
        <v>48</v>
      </c>
      <c r="AR15" s="791"/>
      <c r="AS15" s="821">
        <v>7353821.8799999999</v>
      </c>
      <c r="AT15" s="822">
        <v>0.71710994198556099</v>
      </c>
      <c r="AU15" s="783"/>
      <c r="AV15" s="821">
        <v>7828448.5450000018</v>
      </c>
      <c r="AW15" s="822">
        <v>0.72540816833517452</v>
      </c>
      <c r="AX15" s="823">
        <f t="shared" si="87"/>
        <v>1.1571763078109143E-2</v>
      </c>
      <c r="AY15" s="783"/>
      <c r="AZ15" s="821">
        <v>8035314.9274999993</v>
      </c>
      <c r="BA15" s="822">
        <v>0.62282657759036675</v>
      </c>
      <c r="BB15" s="823">
        <f t="shared" si="88"/>
        <v>-0.14141223551457172</v>
      </c>
      <c r="BC15" s="783"/>
      <c r="BD15" s="821">
        <v>8562729.5753158554</v>
      </c>
      <c r="BE15" s="822">
        <v>0.58225665955417472</v>
      </c>
      <c r="BF15" s="823">
        <f t="shared" si="89"/>
        <v>-6.5138386022561279E-2</v>
      </c>
      <c r="BG15" s="783"/>
      <c r="BH15" s="821">
        <v>11045828.998199999</v>
      </c>
      <c r="BI15" s="822">
        <v>0.72687075473189988</v>
      </c>
      <c r="BJ15" s="823">
        <f t="shared" si="90"/>
        <v>0.24836829739045663</v>
      </c>
      <c r="BK15" s="783"/>
      <c r="BL15" s="821">
        <v>11568330.944249999</v>
      </c>
      <c r="BM15" s="822">
        <v>0.68771883938552769</v>
      </c>
      <c r="BN15" s="823">
        <f t="shared" si="91"/>
        <v>-5.3863654702703045E-2</v>
      </c>
      <c r="BO15" s="783"/>
      <c r="BP15" s="821">
        <v>12592679.530000001</v>
      </c>
      <c r="BQ15" s="822">
        <v>0.67892720661852923</v>
      </c>
      <c r="BR15" s="823">
        <f t="shared" si="92"/>
        <v>-1.2783760257104038E-2</v>
      </c>
      <c r="BS15" s="783"/>
      <c r="BT15" s="660">
        <v>14006160</v>
      </c>
      <c r="BU15" s="660">
        <v>0.71</v>
      </c>
      <c r="BV15" s="660">
        <f t="shared" si="93"/>
        <v>4.5767488883281304E-2</v>
      </c>
      <c r="BW15" s="237">
        <v>14529003.2212</v>
      </c>
      <c r="BX15" s="238">
        <v>0.75057613815354784</v>
      </c>
      <c r="BY15" s="824">
        <f t="shared" si="60"/>
        <v>5.71494903571097E-2</v>
      </c>
      <c r="BZ15" s="824">
        <v>16169362.853399999</v>
      </c>
      <c r="CA15" s="824">
        <v>0.79265580047847906</v>
      </c>
      <c r="CB15" s="824">
        <f t="shared" si="61"/>
        <v>5.6063149607245899E-2</v>
      </c>
      <c r="CC15" s="956">
        <v>15891148.762050001</v>
      </c>
      <c r="CD15" s="956">
        <v>0.76458980113025976</v>
      </c>
      <c r="CE15" s="723">
        <f t="shared" si="101"/>
        <v>-3.5407549318730136E-2</v>
      </c>
      <c r="CF15" s="792">
        <f t="shared" si="94"/>
        <v>16523554.25475</v>
      </c>
      <c r="CG15" s="824">
        <f t="shared" si="94"/>
        <v>0.7941824250227445</v>
      </c>
      <c r="CH15" s="723">
        <f t="shared" si="95"/>
        <v>3.8703921826761523E-2</v>
      </c>
      <c r="CI15" s="825">
        <f t="shared" si="63"/>
        <v>1.246934250568223</v>
      </c>
      <c r="CJ15" s="723">
        <f t="shared" si="96"/>
        <v>4.6002681844093063E-2</v>
      </c>
      <c r="DD15" s="12"/>
      <c r="DN15" s="12"/>
      <c r="DU15" s="12"/>
      <c r="DV15" s="12"/>
      <c r="DW15" s="12"/>
      <c r="DX15" s="12"/>
      <c r="DY15" s="12"/>
      <c r="EF15" s="29"/>
      <c r="EQ15" s="19"/>
      <c r="ER15" s="266"/>
      <c r="FG15" s="19"/>
      <c r="FH15" s="266"/>
      <c r="FJ15" s="222">
        <f t="shared" si="78"/>
        <v>10</v>
      </c>
      <c r="FK15" s="242"/>
      <c r="FL15" s="877" t="s">
        <v>214</v>
      </c>
      <c r="FM15" s="650">
        <v>38301.99</v>
      </c>
      <c r="FN15" s="650">
        <v>65518.33</v>
      </c>
      <c r="FO15" s="650">
        <v>227733.46400000001</v>
      </c>
      <c r="FP15" s="794">
        <f t="shared" si="21"/>
        <v>331553.78400000004</v>
      </c>
      <c r="FQ15" s="650">
        <v>38301.99</v>
      </c>
      <c r="FR15" s="650">
        <v>65518.33</v>
      </c>
      <c r="FS15" s="650">
        <v>229810.96400000001</v>
      </c>
      <c r="FT15" s="650">
        <v>333631.28399999999</v>
      </c>
      <c r="FU15" s="955">
        <v>333631.28399999999</v>
      </c>
      <c r="FV15" s="16"/>
      <c r="FW15" s="266"/>
      <c r="GZ15" s="222">
        <v>10</v>
      </c>
      <c r="HA15" s="663">
        <v>10</v>
      </c>
      <c r="HB15" s="663">
        <v>10</v>
      </c>
      <c r="HC15" s="663">
        <v>10</v>
      </c>
      <c r="HD15" s="682">
        <v>66218585</v>
      </c>
      <c r="HE15" s="682">
        <v>68377091</v>
      </c>
      <c r="HF15" s="724">
        <f t="shared" si="22"/>
        <v>1</v>
      </c>
      <c r="HG15" s="724">
        <f t="shared" si="23"/>
        <v>1.0325966796179653</v>
      </c>
      <c r="HH15" s="723">
        <v>0.5</v>
      </c>
      <c r="HI15" s="723">
        <v>0.5</v>
      </c>
      <c r="HJ15" s="723">
        <v>0</v>
      </c>
      <c r="HN15" s="243">
        <v>10</v>
      </c>
      <c r="HO15" s="891">
        <v>10</v>
      </c>
      <c r="HP15" s="793">
        <f t="shared" si="2"/>
        <v>1.0325966796179653</v>
      </c>
      <c r="HQ15" s="650">
        <v>0</v>
      </c>
      <c r="HR15" s="794">
        <f t="shared" si="24"/>
        <v>0</v>
      </c>
      <c r="HS15" s="650">
        <v>7192089</v>
      </c>
      <c r="HT15" s="975">
        <v>7421436</v>
      </c>
      <c r="HU15" s="650">
        <v>3251905.9609000003</v>
      </c>
      <c r="HV15" s="975">
        <v>3686139</v>
      </c>
      <c r="HW15" s="650">
        <v>225000</v>
      </c>
      <c r="HX15" s="955">
        <v>225000</v>
      </c>
      <c r="HY15" s="650">
        <f t="shared" si="25"/>
        <v>3476905.9609000003</v>
      </c>
      <c r="HZ15" s="650">
        <f t="shared" si="25"/>
        <v>3911139</v>
      </c>
      <c r="IA15" s="206"/>
      <c r="IB15" s="207"/>
      <c r="IC15" s="206"/>
      <c r="ID15" s="244">
        <v>10</v>
      </c>
      <c r="IE15" s="891">
        <v>10</v>
      </c>
      <c r="IF15" s="899">
        <f t="shared" si="3"/>
        <v>1</v>
      </c>
      <c r="IG15" s="900">
        <f t="shared" si="3"/>
        <v>1.0325966796179653</v>
      </c>
      <c r="IH15" s="955">
        <v>868571.60226464225</v>
      </c>
      <c r="II15" s="794">
        <f t="shared" si="64"/>
        <v>896884.15250892553</v>
      </c>
      <c r="IJ15" s="955">
        <v>55419.501999999993</v>
      </c>
      <c r="IK15" s="794">
        <f t="shared" si="26"/>
        <v>57225.993751281181</v>
      </c>
      <c r="IL15" s="955">
        <v>516575.9077353577</v>
      </c>
      <c r="IM15" s="794">
        <f t="shared" si="82"/>
        <v>516575.9077353577</v>
      </c>
      <c r="IN15" s="955">
        <v>765934.96395878121</v>
      </c>
      <c r="IO15" s="995">
        <v>780068.43343405006</v>
      </c>
      <c r="IP15" s="955">
        <v>75147.020000000019</v>
      </c>
      <c r="IQ15" s="794">
        <f t="shared" si="27"/>
        <v>77596.563335184852</v>
      </c>
      <c r="IR15" s="955">
        <v>56302.500000000007</v>
      </c>
      <c r="IS15" s="794">
        <f t="shared" si="28"/>
        <v>58137.774554190502</v>
      </c>
      <c r="IT15" s="955">
        <v>132365.25</v>
      </c>
      <c r="IU15" s="794">
        <f t="shared" si="29"/>
        <v>136679.91764680188</v>
      </c>
      <c r="IV15" s="955">
        <v>335051.89025</v>
      </c>
      <c r="IW15" s="794">
        <f t="shared" si="30"/>
        <v>345973.4693718729</v>
      </c>
      <c r="IX15" s="650">
        <f t="shared" si="31"/>
        <v>2805368.6362087815</v>
      </c>
      <c r="IY15" s="650">
        <f t="shared" si="31"/>
        <v>2869142.2123376648</v>
      </c>
      <c r="IZ15" s="683">
        <f t="shared" si="4"/>
        <v>4.1960577298289348</v>
      </c>
      <c r="JD15" s="222">
        <v>10</v>
      </c>
      <c r="JE15" s="663">
        <v>10</v>
      </c>
      <c r="JF15" s="660">
        <f t="shared" si="5"/>
        <v>10</v>
      </c>
      <c r="JG15" s="660">
        <f t="shared" si="32"/>
        <v>10</v>
      </c>
      <c r="JH15" s="905">
        <f t="shared" si="6"/>
        <v>68377091</v>
      </c>
      <c r="JI15" s="905">
        <f t="shared" si="83"/>
        <v>68392018.34430562</v>
      </c>
      <c r="JJ15" s="906">
        <f t="shared" si="33"/>
        <v>1</v>
      </c>
      <c r="JK15" s="906">
        <f t="shared" si="34"/>
        <v>1.0002183091454655</v>
      </c>
      <c r="JL15" s="906">
        <f t="shared" si="35"/>
        <v>1.0303558266198738</v>
      </c>
      <c r="JM15" s="663" t="s">
        <v>238</v>
      </c>
      <c r="JN15" s="209"/>
      <c r="JO15" s="210"/>
      <c r="JP15" s="209"/>
      <c r="JQ15" s="222">
        <v>10</v>
      </c>
      <c r="JR15" s="663">
        <v>10</v>
      </c>
      <c r="JS15" s="914" t="str">
        <f t="shared" si="7"/>
        <v>Q3</v>
      </c>
      <c r="JT15" s="913">
        <f t="shared" si="8"/>
        <v>1.0303558266198738</v>
      </c>
      <c r="JU15" s="671">
        <f t="shared" si="36"/>
        <v>0</v>
      </c>
      <c r="JV15" s="671">
        <f t="shared" si="37"/>
        <v>0</v>
      </c>
      <c r="JW15" s="671">
        <f t="shared" si="9"/>
        <v>7421436</v>
      </c>
      <c r="JX15" s="671">
        <f t="shared" si="38"/>
        <v>7546917.5590933925</v>
      </c>
      <c r="JY15" s="671">
        <f t="shared" si="10"/>
        <v>3686139</v>
      </c>
      <c r="JZ15" s="671">
        <f t="shared" si="11"/>
        <v>3387376.3250138075</v>
      </c>
      <c r="KA15" s="671">
        <f t="shared" si="39"/>
        <v>225000</v>
      </c>
      <c r="KB15" s="671">
        <f t="shared" si="40"/>
        <v>148018.77972971628</v>
      </c>
      <c r="KC15" s="671">
        <f t="shared" si="41"/>
        <v>3911139</v>
      </c>
      <c r="KD15" s="671">
        <f t="shared" si="41"/>
        <v>3535395.104743524</v>
      </c>
      <c r="KE15" s="211"/>
      <c r="KF15" s="210"/>
      <c r="KG15" s="209"/>
      <c r="KH15" s="245">
        <f t="shared" si="65"/>
        <v>10</v>
      </c>
      <c r="KI15" s="917">
        <v>9</v>
      </c>
      <c r="KJ15" s="918">
        <f t="shared" si="66"/>
        <v>1</v>
      </c>
      <c r="KK15" s="918">
        <f t="shared" si="66"/>
        <v>1.0002183091454655</v>
      </c>
      <c r="KL15" s="898">
        <v>1.6626666699999999</v>
      </c>
      <c r="KM15" s="801">
        <f t="shared" si="67"/>
        <v>832643.5385799685</v>
      </c>
      <c r="KN15" s="898">
        <v>1.6626666699999999</v>
      </c>
      <c r="KO15" s="801">
        <f t="shared" si="42"/>
        <v>108429.86363435687</v>
      </c>
      <c r="KP15" s="898">
        <v>1.6626666699999999</v>
      </c>
      <c r="KQ15" s="801">
        <f t="shared" si="43"/>
        <v>581022.92863022629</v>
      </c>
      <c r="KR15" s="898">
        <v>1.6626666699999999</v>
      </c>
      <c r="KS15" s="801">
        <f t="shared" si="68"/>
        <v>685511.6727422016</v>
      </c>
      <c r="KT15" s="898">
        <v>1.6626666699999999</v>
      </c>
      <c r="KU15" s="801">
        <f t="shared" si="44"/>
        <v>70122.060283754719</v>
      </c>
      <c r="KV15" s="898">
        <v>1.6626666699999999</v>
      </c>
      <c r="KW15" s="801">
        <f t="shared" si="45"/>
        <v>74521.550160263185</v>
      </c>
      <c r="KX15" s="898">
        <v>1.6626666699999999</v>
      </c>
      <c r="KY15" s="801">
        <f t="shared" si="46"/>
        <v>73866.557603070629</v>
      </c>
      <c r="KZ15" s="898">
        <v>1.6626666699999999</v>
      </c>
      <c r="LA15" s="919">
        <f t="shared" si="47"/>
        <v>873134.05626250571</v>
      </c>
      <c r="LB15" s="646">
        <f t="shared" si="48"/>
        <v>3202003.7918779361</v>
      </c>
      <c r="LC15" s="646">
        <f t="shared" si="79"/>
        <v>3299252.2278963476</v>
      </c>
      <c r="LD15" s="16"/>
      <c r="LE15" s="220"/>
      <c r="LG15" s="222">
        <v>10</v>
      </c>
      <c r="LH15" s="922">
        <v>10</v>
      </c>
      <c r="LI15" s="650">
        <f t="shared" si="12"/>
        <v>3476905.9609000003</v>
      </c>
      <c r="LJ15" s="650">
        <f t="shared" si="12"/>
        <v>3911139</v>
      </c>
      <c r="LK15" s="794">
        <f t="shared" si="13"/>
        <v>3535395.104743524</v>
      </c>
      <c r="LL15" s="650">
        <f t="shared" si="14"/>
        <v>2805368.6362087815</v>
      </c>
      <c r="LM15" s="650">
        <f t="shared" si="14"/>
        <v>2869142.2123376648</v>
      </c>
      <c r="LN15" s="794">
        <f t="shared" si="49"/>
        <v>2956237.3958831481</v>
      </c>
      <c r="LO15" s="650">
        <f t="shared" si="50"/>
        <v>671537.32469121879</v>
      </c>
      <c r="LP15" s="650">
        <f t="shared" si="50"/>
        <v>1041996.7876623352</v>
      </c>
      <c r="LQ15" s="650">
        <f t="shared" si="50"/>
        <v>579157.70886037592</v>
      </c>
      <c r="MA15" s="192">
        <f t="shared" si="80"/>
        <v>9</v>
      </c>
      <c r="MB15" s="814" t="s">
        <v>57</v>
      </c>
      <c r="MC15" s="860">
        <f t="shared" si="102"/>
        <v>1994337.7399035022</v>
      </c>
      <c r="MD15" s="928">
        <f t="shared" si="103"/>
        <v>9.0876832324627621E-2</v>
      </c>
      <c r="ME15" s="796"/>
      <c r="MF15" s="798">
        <f t="shared" si="104"/>
        <v>1994337.7399035022</v>
      </c>
      <c r="MG15" s="928">
        <f t="shared" si="105"/>
        <v>9.0876832324627621E-2</v>
      </c>
      <c r="MK15" s="192">
        <f t="shared" si="81"/>
        <v>9</v>
      </c>
      <c r="ML15" s="253" t="str">
        <f t="shared" si="53"/>
        <v>Contract Labour</v>
      </c>
      <c r="MM15" s="979">
        <v>2011456.9761871099</v>
      </c>
      <c r="MN15" s="860">
        <f t="shared" si="106"/>
        <v>1994337.7399035022</v>
      </c>
      <c r="MO15" s="860">
        <f t="shared" si="70"/>
        <v>-17119.236283607781</v>
      </c>
      <c r="MP15" s="802">
        <f t="shared" si="71"/>
        <v>-8.5108637600883556E-3</v>
      </c>
    </row>
    <row r="16" spans="1:405" s="29" customFormat="1" ht="16.5" x14ac:dyDescent="0.3">
      <c r="B16" s="181">
        <f t="shared" si="72"/>
        <v>11</v>
      </c>
      <c r="C16" s="251"/>
      <c r="D16" s="796" t="s">
        <v>48</v>
      </c>
      <c r="E16" s="797"/>
      <c r="F16" s="798">
        <f>DN9</f>
        <v>16523554.25475</v>
      </c>
      <c r="G16" s="799">
        <f t="shared" si="97"/>
        <v>0.7941824250227445</v>
      </c>
      <c r="H16" s="798">
        <f>DP9</f>
        <v>17962433.615376391</v>
      </c>
      <c r="I16" s="800">
        <f t="shared" si="98"/>
        <v>0.85881766560449857</v>
      </c>
      <c r="J16" s="801">
        <f t="shared" si="54"/>
        <v>1438879.3606263902</v>
      </c>
      <c r="K16" s="798">
        <f>IM26</f>
        <v>18604918.663317382</v>
      </c>
      <c r="L16" s="800">
        <f t="shared" si="99"/>
        <v>0.84796328498256912</v>
      </c>
      <c r="M16" s="801">
        <f t="shared" si="55"/>
        <v>642485.04794099182</v>
      </c>
      <c r="N16" s="798">
        <f>KQ27</f>
        <v>19173425.776259005</v>
      </c>
      <c r="O16" s="800">
        <f t="shared" si="100"/>
        <v>0.87368361160436703</v>
      </c>
      <c r="P16" s="801">
        <f t="shared" si="56"/>
        <v>568507.11294162273</v>
      </c>
      <c r="Q16" s="798">
        <f t="shared" si="57"/>
        <v>2649871.5215090048</v>
      </c>
      <c r="R16" s="802">
        <f t="shared" si="58"/>
        <v>0.10010443958054815</v>
      </c>
      <c r="S16" s="12"/>
      <c r="T16" s="13"/>
      <c r="U16" s="12"/>
      <c r="V16" s="165">
        <f t="shared" si="59"/>
        <v>8</v>
      </c>
      <c r="W16" s="808" t="s">
        <v>132</v>
      </c>
      <c r="X16" s="650">
        <f>X14-X10</f>
        <v>2576756.5991441193</v>
      </c>
      <c r="Y16" s="650">
        <f t="shared" ref="Y16:AA16" si="107">Y14-Y10</f>
        <v>4998445.2571030203</v>
      </c>
      <c r="Z16" s="650">
        <f t="shared" si="107"/>
        <v>9937088.2862379495</v>
      </c>
      <c r="AA16" s="650">
        <f t="shared" si="107"/>
        <v>17512290.14248509</v>
      </c>
      <c r="AB16" s="230"/>
      <c r="AC16" s="234"/>
      <c r="AD16" s="13"/>
      <c r="AE16" s="12"/>
      <c r="AF16" s="252">
        <f t="shared" si="73"/>
        <v>10</v>
      </c>
      <c r="AG16" s="814" t="s">
        <v>180</v>
      </c>
      <c r="AH16" s="815">
        <f>AH15*3600/$K$24</f>
        <v>3.0451184708403782</v>
      </c>
      <c r="AI16" s="815">
        <f>AI15*3600/$K$24</f>
        <v>0.15128923398834065</v>
      </c>
      <c r="AJ16" s="815">
        <f>AJ15*3600/$K$24</f>
        <v>0.96880969007169926</v>
      </c>
      <c r="AK16" s="12"/>
      <c r="AL16" s="299"/>
      <c r="AM16" s="12"/>
      <c r="AN16" s="192">
        <f>AN15+1</f>
        <v>11</v>
      </c>
      <c r="AO16" s="254"/>
      <c r="AP16" s="254"/>
      <c r="AQ16" s="804" t="s">
        <v>49</v>
      </c>
      <c r="AR16" s="797"/>
      <c r="AS16" s="827">
        <v>3443976.8344000001</v>
      </c>
      <c r="AT16" s="828">
        <v>0.33584033829171284</v>
      </c>
      <c r="AU16" s="829"/>
      <c r="AV16" s="827">
        <v>5716425.9886499979</v>
      </c>
      <c r="AW16" s="828">
        <v>0.52970164931322072</v>
      </c>
      <c r="AX16" s="830">
        <f t="shared" si="87"/>
        <v>0.57724248375762066</v>
      </c>
      <c r="AY16" s="829"/>
      <c r="AZ16" s="827">
        <v>7023487.4984412417</v>
      </c>
      <c r="BA16" s="828">
        <v>0.54439866027303074</v>
      </c>
      <c r="BB16" s="830">
        <f t="shared" si="88"/>
        <v>2.7745828201338085E-2</v>
      </c>
      <c r="BC16" s="829"/>
      <c r="BD16" s="827">
        <v>8390599.8471698686</v>
      </c>
      <c r="BE16" s="828">
        <v>0.57055201798647071</v>
      </c>
      <c r="BF16" s="830">
        <f t="shared" si="89"/>
        <v>4.8040819388356581E-2</v>
      </c>
      <c r="BG16" s="829"/>
      <c r="BH16" s="827">
        <v>9500186.8885000013</v>
      </c>
      <c r="BI16" s="828">
        <v>0.62515977885076657</v>
      </c>
      <c r="BJ16" s="830">
        <f t="shared" si="90"/>
        <v>9.5710398250822948E-2</v>
      </c>
      <c r="BK16" s="829"/>
      <c r="BL16" s="827">
        <v>10661854.069499999</v>
      </c>
      <c r="BM16" s="828">
        <v>0.63383023373989222</v>
      </c>
      <c r="BN16" s="830">
        <f t="shared" si="91"/>
        <v>1.386918221940725E-2</v>
      </c>
      <c r="BO16" s="829"/>
      <c r="BP16" s="827">
        <v>13069899.7289</v>
      </c>
      <c r="BQ16" s="828">
        <v>0.70465626418798799</v>
      </c>
      <c r="BR16" s="830">
        <f t="shared" si="92"/>
        <v>0.11174290319063718</v>
      </c>
      <c r="BS16" s="829"/>
      <c r="BT16" s="796">
        <v>15592449</v>
      </c>
      <c r="BU16" s="796">
        <v>0.79</v>
      </c>
      <c r="BV16" s="796">
        <f t="shared" si="93"/>
        <v>0.12111399578680837</v>
      </c>
      <c r="BW16" s="258">
        <v>21298745.488500003</v>
      </c>
      <c r="BX16" s="259">
        <v>1.100304672859262</v>
      </c>
      <c r="BY16" s="831">
        <f t="shared" si="60"/>
        <v>0.39279072513830626</v>
      </c>
      <c r="BZ16" s="831">
        <v>23700279.210100003</v>
      </c>
      <c r="CA16" s="831">
        <v>1.1618369851162706</v>
      </c>
      <c r="CB16" s="831">
        <f t="shared" si="61"/>
        <v>5.5922976403535829E-2</v>
      </c>
      <c r="CC16" s="956">
        <v>24697713.659500003</v>
      </c>
      <c r="CD16" s="956">
        <v>1.1883105657147701</v>
      </c>
      <c r="CE16" s="802">
        <f t="shared" si="101"/>
        <v>2.2785968201769924E-2</v>
      </c>
      <c r="CF16" s="798">
        <f t="shared" si="94"/>
        <v>25788943.3565</v>
      </c>
      <c r="CG16" s="831">
        <f t="shared" si="94"/>
        <v>1.2395108980715628</v>
      </c>
      <c r="CH16" s="802">
        <f t="shared" si="95"/>
        <v>4.30866591899699E-2</v>
      </c>
      <c r="CI16" s="832">
        <f t="shared" si="63"/>
        <v>6.4881291589735319</v>
      </c>
      <c r="CJ16" s="802">
        <f t="shared" si="96"/>
        <v>0.11834627601791059</v>
      </c>
      <c r="CK16" s="12"/>
      <c r="CL16" s="13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3"/>
      <c r="CZ16" s="12"/>
      <c r="DA16" s="12"/>
      <c r="DB16" s="12"/>
      <c r="DC16" s="12"/>
      <c r="DD16" s="12"/>
      <c r="DE16" s="12"/>
      <c r="DF16" s="12"/>
      <c r="DG16" s="12"/>
      <c r="DH16" s="12"/>
      <c r="DI16" s="13"/>
      <c r="DJ16" s="12"/>
      <c r="DK16" s="12"/>
      <c r="DL16" s="12"/>
      <c r="DM16" s="12"/>
      <c r="DN16" s="12"/>
      <c r="DO16" s="12"/>
      <c r="DP16" s="12"/>
      <c r="DQ16" s="12"/>
      <c r="DR16" s="1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3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311"/>
      <c r="ER16" s="266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311"/>
      <c r="FH16" s="266"/>
      <c r="FI16" s="12"/>
      <c r="FJ16" s="192">
        <f t="shared" si="78"/>
        <v>11</v>
      </c>
      <c r="FK16" s="265"/>
      <c r="FL16" s="878" t="s">
        <v>215</v>
      </c>
      <c r="FM16" s="860">
        <v>82960.8465</v>
      </c>
      <c r="FN16" s="860">
        <v>247179.69999999995</v>
      </c>
      <c r="FO16" s="860">
        <v>496871.88333999994</v>
      </c>
      <c r="FP16" s="801">
        <f t="shared" si="21"/>
        <v>827012.42983999988</v>
      </c>
      <c r="FQ16" s="860">
        <v>82980.54377272728</v>
      </c>
      <c r="FR16" s="860">
        <v>247179.69999999995</v>
      </c>
      <c r="FS16" s="860">
        <v>496871.88333999994</v>
      </c>
      <c r="FT16" s="860">
        <v>827032.12711272715</v>
      </c>
      <c r="FU16" s="955">
        <v>827032.12711272715</v>
      </c>
      <c r="FV16" s="16"/>
      <c r="FW16" s="266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3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3"/>
      <c r="GX16" s="12"/>
      <c r="GY16" s="12"/>
      <c r="GZ16" s="192">
        <v>11</v>
      </c>
      <c r="HA16" s="886">
        <v>11</v>
      </c>
      <c r="HB16" s="886">
        <v>10</v>
      </c>
      <c r="HC16" s="886">
        <v>10</v>
      </c>
      <c r="HD16" s="887">
        <v>81129366</v>
      </c>
      <c r="HE16" s="887">
        <v>83360260</v>
      </c>
      <c r="HF16" s="800">
        <f t="shared" si="22"/>
        <v>1</v>
      </c>
      <c r="HG16" s="800">
        <f t="shared" si="23"/>
        <v>1.0274979838989498</v>
      </c>
      <c r="HH16" s="802">
        <v>0</v>
      </c>
      <c r="HI16" s="802">
        <v>1</v>
      </c>
      <c r="HJ16" s="802">
        <v>0</v>
      </c>
      <c r="HK16" s="12"/>
      <c r="HL16" s="13"/>
      <c r="HM16" s="12"/>
      <c r="HN16" s="267">
        <v>11</v>
      </c>
      <c r="HO16" s="892">
        <v>11</v>
      </c>
      <c r="HP16" s="799">
        <f t="shared" si="2"/>
        <v>1.0274979838989498</v>
      </c>
      <c r="HQ16" s="860">
        <v>2581.4899999999998</v>
      </c>
      <c r="HR16" s="801">
        <f t="shared" si="24"/>
        <v>2652.4757704552994</v>
      </c>
      <c r="HS16" s="860">
        <v>8836266</v>
      </c>
      <c r="HT16" s="975">
        <v>9087731</v>
      </c>
      <c r="HU16" s="860">
        <v>3929506.6488000001</v>
      </c>
      <c r="HV16" s="975">
        <v>4562596</v>
      </c>
      <c r="HW16" s="860">
        <v>225000</v>
      </c>
      <c r="HX16" s="955">
        <v>225000</v>
      </c>
      <c r="HY16" s="860">
        <f t="shared" si="25"/>
        <v>4157088.1388000003</v>
      </c>
      <c r="HZ16" s="860">
        <f t="shared" si="25"/>
        <v>4790248.4757704549</v>
      </c>
      <c r="IA16" s="206"/>
      <c r="IB16" s="207"/>
      <c r="IC16" s="206"/>
      <c r="ID16" s="208">
        <v>11</v>
      </c>
      <c r="IE16" s="892">
        <v>11</v>
      </c>
      <c r="IF16" s="896">
        <f t="shared" si="3"/>
        <v>1</v>
      </c>
      <c r="IG16" s="897">
        <f t="shared" si="3"/>
        <v>1.0274979838989498</v>
      </c>
      <c r="IH16" s="955">
        <v>1423641.7045909851</v>
      </c>
      <c r="II16" s="801">
        <f t="shared" si="64"/>
        <v>1462788.9812617013</v>
      </c>
      <c r="IJ16" s="955">
        <v>82670.929999999993</v>
      </c>
      <c r="IK16" s="801">
        <f t="shared" si="26"/>
        <v>84944.213902051197</v>
      </c>
      <c r="IL16" s="955">
        <v>693581.72540901485</v>
      </c>
      <c r="IM16" s="801">
        <f t="shared" si="82"/>
        <v>693581.72540901485</v>
      </c>
      <c r="IN16" s="955">
        <v>1097311.9781036684</v>
      </c>
      <c r="IO16" s="995">
        <v>1097311.9781036684</v>
      </c>
      <c r="IP16" s="955">
        <v>115389.88249999999</v>
      </c>
      <c r="IQ16" s="801">
        <f t="shared" si="27"/>
        <v>118562.8716310867</v>
      </c>
      <c r="IR16" s="955">
        <v>62157.794999999998</v>
      </c>
      <c r="IS16" s="801">
        <f t="shared" si="28"/>
        <v>63867.00904610422</v>
      </c>
      <c r="IT16" s="955">
        <v>135787.78999999998</v>
      </c>
      <c r="IU16" s="801">
        <f t="shared" si="29"/>
        <v>139521.68046309394</v>
      </c>
      <c r="IV16" s="955">
        <v>373475.82789999997</v>
      </c>
      <c r="IW16" s="801">
        <f t="shared" si="30"/>
        <v>383745.6602022411</v>
      </c>
      <c r="IX16" s="860">
        <f t="shared" si="31"/>
        <v>3984017.633503668</v>
      </c>
      <c r="IY16" s="860">
        <f t="shared" si="31"/>
        <v>4044324.1200189614</v>
      </c>
      <c r="IZ16" s="898">
        <f t="shared" si="4"/>
        <v>4.8516212881521259</v>
      </c>
      <c r="JA16" s="12"/>
      <c r="JB16" s="13"/>
      <c r="JC16" s="12"/>
      <c r="JD16" s="192">
        <v>11</v>
      </c>
      <c r="JE16" s="886">
        <v>11</v>
      </c>
      <c r="JF16" s="796">
        <f t="shared" si="5"/>
        <v>10</v>
      </c>
      <c r="JG16" s="796">
        <f t="shared" si="32"/>
        <v>10</v>
      </c>
      <c r="JH16" s="859">
        <f t="shared" si="6"/>
        <v>83360260</v>
      </c>
      <c r="JI16" s="859">
        <f t="shared" si="83"/>
        <v>83378458.307126388</v>
      </c>
      <c r="JJ16" s="904">
        <f t="shared" si="33"/>
        <v>1</v>
      </c>
      <c r="JK16" s="904">
        <f t="shared" si="34"/>
        <v>1.0002183091454655</v>
      </c>
      <c r="JL16" s="904">
        <f t="shared" si="35"/>
        <v>1.0441741333094723</v>
      </c>
      <c r="JM16" s="886" t="s">
        <v>425</v>
      </c>
      <c r="JN16" s="209"/>
      <c r="JO16" s="210"/>
      <c r="JP16" s="209"/>
      <c r="JQ16" s="192">
        <v>11</v>
      </c>
      <c r="JR16" s="886">
        <v>11</v>
      </c>
      <c r="JS16" s="910" t="str">
        <f t="shared" si="7"/>
        <v>Q2</v>
      </c>
      <c r="JT16" s="911">
        <f t="shared" si="8"/>
        <v>1.0441741333094723</v>
      </c>
      <c r="JU16" s="860">
        <f t="shared" si="36"/>
        <v>2652.4757704552994</v>
      </c>
      <c r="JV16" s="860">
        <f t="shared" si="37"/>
        <v>2769.646588739537</v>
      </c>
      <c r="JW16" s="860">
        <f t="shared" si="9"/>
        <v>9087731</v>
      </c>
      <c r="JX16" s="860">
        <f t="shared" si="38"/>
        <v>9200640.1665228866</v>
      </c>
      <c r="JY16" s="860">
        <f t="shared" si="10"/>
        <v>4562596</v>
      </c>
      <c r="JZ16" s="860">
        <f t="shared" si="11"/>
        <v>4129637.0910396804</v>
      </c>
      <c r="KA16" s="860">
        <f t="shared" si="39"/>
        <v>225000</v>
      </c>
      <c r="KB16" s="860">
        <f t="shared" si="40"/>
        <v>180453.47912141916</v>
      </c>
      <c r="KC16" s="860">
        <f t="shared" si="41"/>
        <v>4790248.4757704549</v>
      </c>
      <c r="KD16" s="860">
        <f t="shared" si="41"/>
        <v>4312860.2167498395</v>
      </c>
      <c r="KE16" s="211"/>
      <c r="KF16" s="210"/>
      <c r="KG16" s="209"/>
      <c r="KH16" s="243">
        <f t="shared" si="65"/>
        <v>11</v>
      </c>
      <c r="KI16" s="891">
        <v>10</v>
      </c>
      <c r="KJ16" s="920">
        <f t="shared" si="66"/>
        <v>1</v>
      </c>
      <c r="KK16" s="920">
        <f t="shared" si="66"/>
        <v>1.0002183091454655</v>
      </c>
      <c r="KL16" s="683">
        <v>1.6626666699999999</v>
      </c>
      <c r="KM16" s="794">
        <f t="shared" si="67"/>
        <v>924200.97402590769</v>
      </c>
      <c r="KN16" s="683">
        <v>1.6626666699999999</v>
      </c>
      <c r="KO16" s="794">
        <f t="shared" si="42"/>
        <v>58968.952697609675</v>
      </c>
      <c r="KP16" s="683">
        <v>1.6626666699999999</v>
      </c>
      <c r="KQ16" s="794">
        <f t="shared" si="43"/>
        <v>532193.31990377733</v>
      </c>
      <c r="KR16" s="683">
        <v>1.6626666699999999</v>
      </c>
      <c r="KS16" s="794">
        <f t="shared" si="68"/>
        <v>803651.89921727066</v>
      </c>
      <c r="KT16" s="683">
        <v>1.6626666699999999</v>
      </c>
      <c r="KU16" s="794">
        <f t="shared" si="44"/>
        <v>79959.958278699982</v>
      </c>
      <c r="KV16" s="683">
        <v>1.6626666699999999</v>
      </c>
      <c r="KW16" s="794">
        <f t="shared" si="45"/>
        <v>59908.50403630783</v>
      </c>
      <c r="KX16" s="683">
        <v>1.6626666699999999</v>
      </c>
      <c r="KY16" s="794">
        <f t="shared" si="46"/>
        <v>140842.84203884189</v>
      </c>
      <c r="KZ16" s="683">
        <v>1.6626666699999999</v>
      </c>
      <c r="LA16" s="794">
        <f t="shared" si="47"/>
        <v>356510.94568473316</v>
      </c>
      <c r="LB16" s="650">
        <f t="shared" si="48"/>
        <v>2869142.2123376648</v>
      </c>
      <c r="LC16" s="650">
        <f t="shared" si="79"/>
        <v>2956237.3958831481</v>
      </c>
      <c r="LD16" s="16"/>
      <c r="LE16" s="220"/>
      <c r="LF16" s="12"/>
      <c r="LG16" s="192">
        <v>11</v>
      </c>
      <c r="LH16" s="921">
        <v>11</v>
      </c>
      <c r="LI16" s="860">
        <f t="shared" si="12"/>
        <v>4157088.1388000003</v>
      </c>
      <c r="LJ16" s="860">
        <f t="shared" si="12"/>
        <v>4790248.4757704549</v>
      </c>
      <c r="LK16" s="801">
        <f t="shared" si="13"/>
        <v>4312860.2167498395</v>
      </c>
      <c r="LL16" s="860">
        <f t="shared" si="14"/>
        <v>3984017.633503668</v>
      </c>
      <c r="LM16" s="860">
        <f t="shared" si="14"/>
        <v>4044324.1200189614</v>
      </c>
      <c r="LN16" s="801">
        <f t="shared" si="49"/>
        <v>4222978.6328433929</v>
      </c>
      <c r="LO16" s="860">
        <f t="shared" si="50"/>
        <v>173070.5052963323</v>
      </c>
      <c r="LP16" s="860">
        <f t="shared" si="50"/>
        <v>745924.35575149348</v>
      </c>
      <c r="LQ16" s="860">
        <f t="shared" si="50"/>
        <v>89881.583906446584</v>
      </c>
      <c r="LR16" s="12"/>
      <c r="LS16" s="13"/>
      <c r="LT16" s="12"/>
      <c r="LU16" s="12"/>
      <c r="LV16" s="12"/>
      <c r="LW16" s="12"/>
      <c r="LX16" s="12"/>
      <c r="LY16" s="13"/>
      <c r="LZ16" s="12"/>
      <c r="MA16" s="222">
        <f t="shared" si="80"/>
        <v>10</v>
      </c>
      <c r="MB16" s="812" t="s">
        <v>48</v>
      </c>
      <c r="MC16" s="650">
        <f t="shared" si="102"/>
        <v>19173425.776259005</v>
      </c>
      <c r="MD16" s="747">
        <f t="shared" si="103"/>
        <v>0.87368361160436703</v>
      </c>
      <c r="ME16" s="660"/>
      <c r="MF16" s="792">
        <f t="shared" si="104"/>
        <v>19173425.776259005</v>
      </c>
      <c r="MG16" s="747">
        <f t="shared" si="105"/>
        <v>0.87368361160436703</v>
      </c>
      <c r="MH16" s="12"/>
      <c r="MI16" s="13"/>
      <c r="MJ16" s="12"/>
      <c r="MK16" s="222">
        <f t="shared" si="81"/>
        <v>10</v>
      </c>
      <c r="ML16" s="231" t="str">
        <f t="shared" si="53"/>
        <v>Overhead Labour</v>
      </c>
      <c r="MM16" s="979">
        <v>15711197.861928774</v>
      </c>
      <c r="MN16" s="650">
        <f t="shared" si="106"/>
        <v>19173425.776259005</v>
      </c>
      <c r="MO16" s="650">
        <f t="shared" si="70"/>
        <v>3462227.914330231</v>
      </c>
      <c r="MP16" s="823">
        <f t="shared" si="71"/>
        <v>0.22036689657635011</v>
      </c>
      <c r="MQ16" s="12"/>
      <c r="MR16" s="13"/>
      <c r="MS16" s="12"/>
    </row>
    <row r="17" spans="1:357" ht="16.5" x14ac:dyDescent="0.3">
      <c r="B17" s="143">
        <f t="shared" si="72"/>
        <v>12</v>
      </c>
      <c r="C17" s="223"/>
      <c r="D17" s="660" t="s">
        <v>49</v>
      </c>
      <c r="E17" s="791"/>
      <c r="F17" s="792">
        <f>DY12</f>
        <v>25788943.3565</v>
      </c>
      <c r="G17" s="793">
        <f t="shared" si="97"/>
        <v>1.2395108980715628</v>
      </c>
      <c r="H17" s="792">
        <f>EC12</f>
        <v>23103829.087177198</v>
      </c>
      <c r="I17" s="724">
        <f t="shared" si="98"/>
        <v>1.1046374332144782</v>
      </c>
      <c r="J17" s="794">
        <f t="shared" si="54"/>
        <v>-2685114.2693228014</v>
      </c>
      <c r="K17" s="792">
        <f>IO26</f>
        <v>24327750.680698965</v>
      </c>
      <c r="L17" s="724">
        <f t="shared" si="99"/>
        <v>1.1087949244366184</v>
      </c>
      <c r="M17" s="794">
        <f t="shared" si="55"/>
        <v>1223921.5935217664</v>
      </c>
      <c r="N17" s="792">
        <f>KS27</f>
        <v>25073716.728897151</v>
      </c>
      <c r="O17" s="724">
        <f t="shared" si="100"/>
        <v>1.1425446680046529</v>
      </c>
      <c r="P17" s="794">
        <f t="shared" si="56"/>
        <v>745966.04819818586</v>
      </c>
      <c r="Q17" s="792">
        <f t="shared" si="57"/>
        <v>-715226.62760284916</v>
      </c>
      <c r="R17" s="723">
        <f t="shared" si="58"/>
        <v>-7.822942921903342E-2</v>
      </c>
      <c r="V17" s="185"/>
      <c r="W17" s="186" t="s">
        <v>26</v>
      </c>
      <c r="X17" s="269"/>
      <c r="Y17" s="270"/>
      <c r="Z17" s="270"/>
      <c r="AA17" s="270"/>
      <c r="AB17" s="230" t="s">
        <v>430</v>
      </c>
      <c r="AC17" s="236"/>
      <c r="AF17" s="271">
        <f t="shared" si="73"/>
        <v>11</v>
      </c>
      <c r="AG17" s="816" t="s">
        <v>187</v>
      </c>
      <c r="AH17" s="818">
        <f>II26/AH15</f>
        <v>20.884539615581581</v>
      </c>
      <c r="AI17" s="818">
        <f>IK26/AI15</f>
        <v>20.908056285798974</v>
      </c>
      <c r="AJ17" s="818">
        <f>IM26/AJ15</f>
        <v>31.509468342655907</v>
      </c>
      <c r="AL17" s="299"/>
      <c r="AN17" s="222">
        <f t="shared" ref="AN17:AN20" si="108">AN16+1</f>
        <v>12</v>
      </c>
      <c r="AO17" s="18"/>
      <c r="AQ17" s="660" t="s">
        <v>216</v>
      </c>
      <c r="AR17" s="791"/>
      <c r="AS17" s="821">
        <v>1216501.406</v>
      </c>
      <c r="AT17" s="822">
        <v>0.11862746567938538</v>
      </c>
      <c r="AU17" s="783"/>
      <c r="AV17" s="821">
        <v>2361150.2250000001</v>
      </c>
      <c r="AW17" s="822">
        <v>0.2187914565748014</v>
      </c>
      <c r="AX17" s="823">
        <f t="shared" si="87"/>
        <v>0.84435750457764458</v>
      </c>
      <c r="AY17" s="783"/>
      <c r="AZ17" s="821">
        <v>2483160.2930935998</v>
      </c>
      <c r="BA17" s="822">
        <v>0.19247263373122833</v>
      </c>
      <c r="BB17" s="823">
        <f t="shared" si="88"/>
        <v>-0.12029182151623485</v>
      </c>
      <c r="BC17" s="783"/>
      <c r="BD17" s="821">
        <v>3556357.1057280144</v>
      </c>
      <c r="BE17" s="822">
        <v>0.24182856533648778</v>
      </c>
      <c r="BF17" s="823">
        <f t="shared" si="89"/>
        <v>0.25643090473932428</v>
      </c>
      <c r="BG17" s="783"/>
      <c r="BH17" s="821">
        <v>3747904.7313999999</v>
      </c>
      <c r="BI17" s="822">
        <v>0.24663086321723002</v>
      </c>
      <c r="BJ17" s="823">
        <f t="shared" si="90"/>
        <v>1.9858273872898957E-2</v>
      </c>
      <c r="BK17" s="783"/>
      <c r="BL17" s="821">
        <v>4022436.6702577379</v>
      </c>
      <c r="BM17" s="822">
        <v>0.23912744990636886</v>
      </c>
      <c r="BN17" s="823">
        <f t="shared" si="91"/>
        <v>-3.0423659119468094E-2</v>
      </c>
      <c r="BO17" s="783"/>
      <c r="BP17" s="813">
        <v>5745533.5202000001</v>
      </c>
      <c r="BQ17" s="822">
        <v>0.30976719562421123</v>
      </c>
      <c r="BR17" s="823">
        <f t="shared" si="92"/>
        <v>0.29540626032478334</v>
      </c>
      <c r="BS17" s="783"/>
      <c r="BT17" s="660">
        <v>6723403</v>
      </c>
      <c r="BU17" s="660">
        <v>0.34</v>
      </c>
      <c r="BV17" s="660">
        <f t="shared" si="93"/>
        <v>9.759847008611322E-2</v>
      </c>
      <c r="BW17" s="237">
        <v>7155288.9644999998</v>
      </c>
      <c r="BX17" s="238">
        <v>0.36964608490901918</v>
      </c>
      <c r="BY17" s="824">
        <f t="shared" si="60"/>
        <v>8.7194367379468174E-2</v>
      </c>
      <c r="BZ17" s="824">
        <v>8029824.328999999</v>
      </c>
      <c r="CA17" s="824">
        <v>0.39363869120338835</v>
      </c>
      <c r="CB17" s="824">
        <f t="shared" si="61"/>
        <v>6.4906967160965445E-2</v>
      </c>
      <c r="CC17" s="956">
        <v>8459101.3855000008</v>
      </c>
      <c r="CD17" s="956">
        <v>0.40700283805321286</v>
      </c>
      <c r="CE17" s="723">
        <f t="shared" si="101"/>
        <v>3.395028778540321E-2</v>
      </c>
      <c r="CF17" s="792">
        <f>F18+F19</f>
        <v>9697049.3831640016</v>
      </c>
      <c r="CG17" s="824">
        <f>G18+G19</f>
        <v>0.46607564425629766</v>
      </c>
      <c r="CH17" s="723">
        <f t="shared" si="95"/>
        <v>0.14514101789963796</v>
      </c>
      <c r="CI17" s="825">
        <f t="shared" si="63"/>
        <v>6.9712603169519083</v>
      </c>
      <c r="CJ17" s="723">
        <f t="shared" si="96"/>
        <v>0.12223764513536595</v>
      </c>
      <c r="DA17" s="287"/>
      <c r="DD17" s="12"/>
      <c r="DN17" s="12"/>
      <c r="DU17" s="12"/>
      <c r="DV17" s="12"/>
      <c r="DW17" s="12"/>
      <c r="DX17" s="12"/>
      <c r="DY17" s="12"/>
      <c r="ER17" s="266"/>
      <c r="FH17" s="266"/>
      <c r="FJ17" s="222">
        <f t="shared" si="78"/>
        <v>12</v>
      </c>
      <c r="FK17" s="242"/>
      <c r="FL17" s="877" t="s">
        <v>217</v>
      </c>
      <c r="FM17" s="650">
        <v>71670.960000000006</v>
      </c>
      <c r="FN17" s="650">
        <v>145385.94</v>
      </c>
      <c r="FO17" s="650">
        <v>289455.99114000006</v>
      </c>
      <c r="FP17" s="794">
        <f t="shared" si="21"/>
        <v>506512.89114000008</v>
      </c>
      <c r="FQ17" s="650">
        <v>72769.460000000006</v>
      </c>
      <c r="FR17" s="650">
        <v>145385.94</v>
      </c>
      <c r="FS17" s="650">
        <v>299604.49114000006</v>
      </c>
      <c r="FT17" s="650">
        <v>517759.89114000008</v>
      </c>
      <c r="FU17" s="955">
        <v>517759.89114000008</v>
      </c>
      <c r="FV17" s="16"/>
      <c r="FW17" s="266"/>
      <c r="GZ17" s="222">
        <v>12</v>
      </c>
      <c r="HA17" s="663">
        <v>12</v>
      </c>
      <c r="HB17" s="999">
        <v>10</v>
      </c>
      <c r="HC17" s="999">
        <v>11</v>
      </c>
      <c r="HD17" s="682">
        <v>93723945</v>
      </c>
      <c r="HE17" s="682">
        <v>102676361</v>
      </c>
      <c r="HF17" s="724">
        <f t="shared" si="22"/>
        <v>1.1000000000000001</v>
      </c>
      <c r="HG17" s="724">
        <f t="shared" si="23"/>
        <v>1.0955189839693582</v>
      </c>
      <c r="HH17" s="723">
        <v>0</v>
      </c>
      <c r="HI17" s="723">
        <v>1</v>
      </c>
      <c r="HJ17" s="723">
        <v>0</v>
      </c>
      <c r="HN17" s="243">
        <v>12</v>
      </c>
      <c r="HO17" s="891">
        <v>12</v>
      </c>
      <c r="HP17" s="793">
        <f t="shared" si="2"/>
        <v>1.0955189839693582</v>
      </c>
      <c r="HQ17" s="650">
        <v>2130.3900000000003</v>
      </c>
      <c r="HR17" s="794">
        <f t="shared" si="24"/>
        <v>2333.8826882584813</v>
      </c>
      <c r="HS17" s="650">
        <v>10172010</v>
      </c>
      <c r="HT17" s="975">
        <v>11151822</v>
      </c>
      <c r="HU17" s="650">
        <v>4623167.0237000007</v>
      </c>
      <c r="HV17" s="975">
        <v>5554330</v>
      </c>
      <c r="HW17" s="650">
        <v>225000</v>
      </c>
      <c r="HX17" s="955">
        <v>247500</v>
      </c>
      <c r="HY17" s="650">
        <f t="shared" si="25"/>
        <v>4850297.4137000004</v>
      </c>
      <c r="HZ17" s="650">
        <f t="shared" si="25"/>
        <v>5804163.8826882588</v>
      </c>
      <c r="IA17" s="206"/>
      <c r="IB17" s="207"/>
      <c r="IC17" s="206"/>
      <c r="ID17" s="244">
        <v>12</v>
      </c>
      <c r="IE17" s="891">
        <v>12</v>
      </c>
      <c r="IF17" s="899">
        <f t="shared" si="3"/>
        <v>1.1000000000000001</v>
      </c>
      <c r="IG17" s="900">
        <f t="shared" si="3"/>
        <v>1.0955189839693582</v>
      </c>
      <c r="IH17" s="955">
        <v>1443100.8181646655</v>
      </c>
      <c r="II17" s="794">
        <f t="shared" si="64"/>
        <v>1580944.3420811039</v>
      </c>
      <c r="IJ17" s="955">
        <v>92334.995999999999</v>
      </c>
      <c r="IK17" s="794">
        <f t="shared" si="26"/>
        <v>101154.74100273475</v>
      </c>
      <c r="IL17" s="955">
        <v>908913.26583533478</v>
      </c>
      <c r="IM17" s="794">
        <f t="shared" si="82"/>
        <v>999804.59241886833</v>
      </c>
      <c r="IN17" s="955">
        <v>1011478.181640237</v>
      </c>
      <c r="IO17" s="995">
        <v>1058208.4193069371</v>
      </c>
      <c r="IP17" s="955">
        <v>90683.825499999977</v>
      </c>
      <c r="IQ17" s="794">
        <f t="shared" si="27"/>
        <v>99345.852374214548</v>
      </c>
      <c r="IR17" s="955">
        <v>80296.399749999982</v>
      </c>
      <c r="IS17" s="794">
        <f t="shared" si="28"/>
        <v>87966.230270517408</v>
      </c>
      <c r="IT17" s="955">
        <v>143266.49</v>
      </c>
      <c r="IU17" s="794">
        <f t="shared" si="29"/>
        <v>156951.15956165621</v>
      </c>
      <c r="IV17" s="955">
        <v>581779.38425</v>
      </c>
      <c r="IW17" s="794">
        <f t="shared" si="30"/>
        <v>637350.35992787883</v>
      </c>
      <c r="IX17" s="650">
        <f t="shared" si="31"/>
        <v>4351853.3611402372</v>
      </c>
      <c r="IY17" s="650">
        <f t="shared" si="31"/>
        <v>4721725.6969439117</v>
      </c>
      <c r="IZ17" s="683">
        <f t="shared" si="4"/>
        <v>4.5986492421015113</v>
      </c>
      <c r="JD17" s="222">
        <v>12</v>
      </c>
      <c r="JE17" s="663">
        <v>12</v>
      </c>
      <c r="JF17" s="660">
        <f t="shared" si="5"/>
        <v>11</v>
      </c>
      <c r="JG17" s="660">
        <f t="shared" si="32"/>
        <v>11</v>
      </c>
      <c r="JH17" s="905">
        <f t="shared" si="6"/>
        <v>102676361</v>
      </c>
      <c r="JI17" s="905">
        <f t="shared" si="83"/>
        <v>102698776.18862942</v>
      </c>
      <c r="JJ17" s="906">
        <f t="shared" si="33"/>
        <v>1</v>
      </c>
      <c r="JK17" s="906">
        <f t="shared" si="34"/>
        <v>1.0002183091454655</v>
      </c>
      <c r="JL17" s="906">
        <f t="shared" si="35"/>
        <v>1.0303594402755141</v>
      </c>
      <c r="JM17" s="663" t="s">
        <v>238</v>
      </c>
      <c r="JN17" s="209"/>
      <c r="JO17" s="210"/>
      <c r="JP17" s="209"/>
      <c r="JQ17" s="222">
        <v>12</v>
      </c>
      <c r="JR17" s="663">
        <v>12</v>
      </c>
      <c r="JS17" s="914" t="str">
        <f t="shared" si="7"/>
        <v>Q3</v>
      </c>
      <c r="JT17" s="913">
        <f t="shared" si="8"/>
        <v>1.0303594402755141</v>
      </c>
      <c r="JU17" s="671">
        <f t="shared" si="36"/>
        <v>2333.8826882584813</v>
      </c>
      <c r="JV17" s="671">
        <f t="shared" si="37"/>
        <v>2404.7380603427209</v>
      </c>
      <c r="JW17" s="671">
        <f t="shared" si="9"/>
        <v>11151822</v>
      </c>
      <c r="JX17" s="671">
        <f t="shared" si="38"/>
        <v>11332597.225212639</v>
      </c>
      <c r="JY17" s="671">
        <f t="shared" si="10"/>
        <v>5554330</v>
      </c>
      <c r="JZ17" s="671">
        <f t="shared" si="11"/>
        <v>5086549.7391512468</v>
      </c>
      <c r="KA17" s="671">
        <f t="shared" si="39"/>
        <v>247500</v>
      </c>
      <c r="KB17" s="671">
        <f t="shared" si="40"/>
        <v>222267.8596009273</v>
      </c>
      <c r="KC17" s="671">
        <f t="shared" si="41"/>
        <v>5804163.8826882588</v>
      </c>
      <c r="KD17" s="671">
        <f t="shared" si="41"/>
        <v>5311222.3368125176</v>
      </c>
      <c r="KE17" s="211"/>
      <c r="KF17" s="210"/>
      <c r="KG17" s="209"/>
      <c r="KH17" s="245">
        <f t="shared" si="65"/>
        <v>12</v>
      </c>
      <c r="KI17" s="917">
        <v>11</v>
      </c>
      <c r="KJ17" s="918">
        <f t="shared" si="66"/>
        <v>1</v>
      </c>
      <c r="KK17" s="918">
        <f t="shared" si="66"/>
        <v>1.0002183091454655</v>
      </c>
      <c r="KL17" s="898">
        <v>1.6406666700000001</v>
      </c>
      <c r="KM17" s="801">
        <f t="shared" si="67"/>
        <v>1527554.0545262552</v>
      </c>
      <c r="KN17" s="898">
        <v>1.6406666700000001</v>
      </c>
      <c r="KO17" s="801">
        <f t="shared" si="42"/>
        <v>88705.124263859601</v>
      </c>
      <c r="KP17" s="898">
        <v>1.6406666700000001</v>
      </c>
      <c r="KQ17" s="801">
        <f t="shared" si="43"/>
        <v>724132.01486431516</v>
      </c>
      <c r="KR17" s="898">
        <v>1.6406666700000001</v>
      </c>
      <c r="KS17" s="801">
        <f t="shared" si="68"/>
        <v>1145645.4294126201</v>
      </c>
      <c r="KT17" s="898">
        <v>1.6406666700000001</v>
      </c>
      <c r="KU17" s="801">
        <f t="shared" si="44"/>
        <v>123812.25015800184</v>
      </c>
      <c r="KV17" s="898">
        <v>1.6406666700000001</v>
      </c>
      <c r="KW17" s="801">
        <f t="shared" si="45"/>
        <v>66694.724849986713</v>
      </c>
      <c r="KX17" s="898">
        <v>1.6406666700000001</v>
      </c>
      <c r="KY17" s="801">
        <f t="shared" si="46"/>
        <v>145699.01155660002</v>
      </c>
      <c r="KZ17" s="898">
        <v>1.6406666700000001</v>
      </c>
      <c r="LA17" s="919">
        <f t="shared" si="47"/>
        <v>400736.02321175457</v>
      </c>
      <c r="LB17" s="646">
        <f t="shared" si="48"/>
        <v>4044324.1200189614</v>
      </c>
      <c r="LC17" s="646">
        <f t="shared" si="79"/>
        <v>4222978.6328433929</v>
      </c>
      <c r="LD17" s="16"/>
      <c r="LE17" s="220"/>
      <c r="LG17" s="222">
        <v>12</v>
      </c>
      <c r="LH17" s="922">
        <v>12</v>
      </c>
      <c r="LI17" s="650">
        <f t="shared" si="12"/>
        <v>4850297.4137000004</v>
      </c>
      <c r="LJ17" s="650">
        <f t="shared" si="12"/>
        <v>5804163.8826882588</v>
      </c>
      <c r="LK17" s="794">
        <f t="shared" si="13"/>
        <v>5311222.3368125176</v>
      </c>
      <c r="LL17" s="650">
        <f t="shared" si="14"/>
        <v>4351853.3611402372</v>
      </c>
      <c r="LM17" s="650">
        <f t="shared" si="14"/>
        <v>4721725.6969439117</v>
      </c>
      <c r="LN17" s="794">
        <f t="shared" si="49"/>
        <v>4865074.6462376406</v>
      </c>
      <c r="LO17" s="650">
        <f t="shared" si="50"/>
        <v>498444.05255976319</v>
      </c>
      <c r="LP17" s="650">
        <f t="shared" si="50"/>
        <v>1082438.1857443471</v>
      </c>
      <c r="LQ17" s="650">
        <f t="shared" si="50"/>
        <v>446147.69057487696</v>
      </c>
      <c r="MA17" s="192">
        <f t="shared" si="80"/>
        <v>11</v>
      </c>
      <c r="MB17" s="814" t="s">
        <v>49</v>
      </c>
      <c r="MC17" s="860">
        <f t="shared" si="102"/>
        <v>25073716.728897151</v>
      </c>
      <c r="MD17" s="928">
        <f t="shared" si="103"/>
        <v>1.1425446680046529</v>
      </c>
      <c r="ME17" s="796"/>
      <c r="MF17" s="798">
        <f t="shared" si="104"/>
        <v>25073716.728897151</v>
      </c>
      <c r="MG17" s="928">
        <f t="shared" si="105"/>
        <v>1.1425446680046529</v>
      </c>
      <c r="MK17" s="192">
        <f t="shared" si="81"/>
        <v>11</v>
      </c>
      <c r="ML17" s="253" t="str">
        <f t="shared" si="53"/>
        <v>Building</v>
      </c>
      <c r="MM17" s="979">
        <v>22755368.059679482</v>
      </c>
      <c r="MN17" s="860">
        <f t="shared" si="106"/>
        <v>25073716.728897151</v>
      </c>
      <c r="MO17" s="860">
        <f t="shared" si="70"/>
        <v>2318348.6692176685</v>
      </c>
      <c r="MP17" s="802">
        <f t="shared" si="71"/>
        <v>0.10188139621110234</v>
      </c>
    </row>
    <row r="18" spans="1:357" s="29" customFormat="1" ht="16.5" x14ac:dyDescent="0.3">
      <c r="B18" s="181">
        <f t="shared" si="72"/>
        <v>13</v>
      </c>
      <c r="C18" s="251"/>
      <c r="D18" s="796" t="s">
        <v>52</v>
      </c>
      <c r="E18" s="797"/>
      <c r="F18" s="798">
        <f>EL9</f>
        <v>5900402.2061640006</v>
      </c>
      <c r="G18" s="799">
        <f t="shared" si="97"/>
        <v>0.28359490097923706</v>
      </c>
      <c r="H18" s="798">
        <f>EP9</f>
        <v>5942658.5173137691</v>
      </c>
      <c r="I18" s="800">
        <f t="shared" si="98"/>
        <v>0.28412965774054211</v>
      </c>
      <c r="J18" s="801">
        <f t="shared" si="54"/>
        <v>42256.311149768531</v>
      </c>
      <c r="K18" s="798">
        <f>IU26</f>
        <v>6168270.1152246939</v>
      </c>
      <c r="L18" s="800">
        <f t="shared" si="99"/>
        <v>0.28113353700806315</v>
      </c>
      <c r="M18" s="801">
        <f t="shared" si="55"/>
        <v>225611.59791092481</v>
      </c>
      <c r="N18" s="798">
        <f>KY27</f>
        <v>6372039.7741681812</v>
      </c>
      <c r="O18" s="800">
        <f t="shared" si="100"/>
        <v>0.29035743471963715</v>
      </c>
      <c r="P18" s="801">
        <f t="shared" si="56"/>
        <v>203769.65894348733</v>
      </c>
      <c r="Q18" s="798">
        <f t="shared" si="57"/>
        <v>471637.56800418068</v>
      </c>
      <c r="R18" s="802">
        <f t="shared" si="58"/>
        <v>2.3845752222799055E-2</v>
      </c>
      <c r="S18" s="12"/>
      <c r="T18" s="13"/>
      <c r="U18" s="12"/>
      <c r="V18" s="165">
        <f>V16+1</f>
        <v>9</v>
      </c>
      <c r="W18" s="805" t="s">
        <v>172</v>
      </c>
      <c r="X18" s="650">
        <f>SUMPRODUCT($LQ$6:$LQ$25,HH6:HH25)</f>
        <v>-3814559.4193291515</v>
      </c>
      <c r="Y18" s="650">
        <f>SUMPRODUCT($LQ$6:$LQ$25,HI6:HI25)</f>
        <v>861974.61160323489</v>
      </c>
      <c r="Z18" s="650">
        <f>SUMPRODUCT($LQ$6:$LQ$25,HJ6:HJ25)</f>
        <v>6833969.1855114605</v>
      </c>
      <c r="AA18" s="650">
        <f>SUM(X18:Z18)</f>
        <v>3881384.3777855439</v>
      </c>
      <c r="AB18" s="230"/>
      <c r="AC18" s="12"/>
      <c r="AD18" s="13"/>
      <c r="AE18" s="12"/>
      <c r="AF18" s="252">
        <f t="shared" si="73"/>
        <v>12</v>
      </c>
      <c r="AG18" s="191" t="s">
        <v>26</v>
      </c>
      <c r="AK18" s="12"/>
      <c r="AL18" s="299"/>
      <c r="AM18" s="12"/>
      <c r="AN18" s="312">
        <f t="shared" si="108"/>
        <v>13</v>
      </c>
      <c r="AO18" s="313"/>
      <c r="AP18" s="314"/>
      <c r="AQ18" s="843" t="s">
        <v>53</v>
      </c>
      <c r="AR18" s="844"/>
      <c r="AS18" s="845">
        <v>5928822.8260000004</v>
      </c>
      <c r="AT18" s="846">
        <v>0.57815077141840288</v>
      </c>
      <c r="AU18" s="847"/>
      <c r="AV18" s="845">
        <v>3792013.7597000003</v>
      </c>
      <c r="AW18" s="846">
        <v>0.35137968141626907</v>
      </c>
      <c r="AX18" s="848">
        <f t="shared" si="87"/>
        <v>-0.39223521132002692</v>
      </c>
      <c r="AY18" s="847"/>
      <c r="AZ18" s="845">
        <v>5238845.7033359464</v>
      </c>
      <c r="BA18" s="846">
        <v>0.40606900530629209</v>
      </c>
      <c r="BB18" s="848">
        <f t="shared" si="88"/>
        <v>0.15564167987628807</v>
      </c>
      <c r="BC18" s="847"/>
      <c r="BD18" s="845">
        <v>5407089.8699504221</v>
      </c>
      <c r="BE18" s="846">
        <v>0.36767645852816944</v>
      </c>
      <c r="BF18" s="848">
        <f t="shared" si="89"/>
        <v>-9.4546853555502741E-2</v>
      </c>
      <c r="BG18" s="847"/>
      <c r="BH18" s="845">
        <v>7543565.8774000006</v>
      </c>
      <c r="BI18" s="846">
        <v>0.49640433719995791</v>
      </c>
      <c r="BJ18" s="848">
        <f t="shared" si="90"/>
        <v>0.3501118325255137</v>
      </c>
      <c r="BK18" s="847"/>
      <c r="BL18" s="845">
        <v>8178976.4044999983</v>
      </c>
      <c r="BM18" s="846">
        <v>0.48622711326046231</v>
      </c>
      <c r="BN18" s="848">
        <f t="shared" si="91"/>
        <v>-2.050188359936933E-2</v>
      </c>
      <c r="BO18" s="847"/>
      <c r="BP18" s="845">
        <v>9693134.9169999994</v>
      </c>
      <c r="BQ18" s="846">
        <v>0.52259989598697731</v>
      </c>
      <c r="BR18" s="848">
        <f t="shared" si="92"/>
        <v>7.4806158962654967E-2</v>
      </c>
      <c r="BS18" s="847"/>
      <c r="BT18" s="843">
        <v>9228973</v>
      </c>
      <c r="BU18" s="843">
        <v>0.47</v>
      </c>
      <c r="BV18" s="843">
        <f t="shared" si="93"/>
        <v>-0.10065041419045384</v>
      </c>
      <c r="BW18" s="315">
        <v>10423908.153099999</v>
      </c>
      <c r="BX18" s="316">
        <v>0.53850471411588496</v>
      </c>
      <c r="BY18" s="849">
        <f t="shared" si="60"/>
        <v>0.14575471088486158</v>
      </c>
      <c r="BZ18" s="849">
        <v>10530651.726950001</v>
      </c>
      <c r="CA18" s="849">
        <v>0.51623445214666785</v>
      </c>
      <c r="CB18" s="849">
        <f t="shared" si="61"/>
        <v>-4.1355741900570675E-2</v>
      </c>
      <c r="CC18" s="957">
        <v>10262021.9365</v>
      </c>
      <c r="CD18" s="957">
        <v>0.49374890570281921</v>
      </c>
      <c r="CE18" s="802">
        <f t="shared" si="101"/>
        <v>-4.3556849703359712E-2</v>
      </c>
      <c r="CF18" s="850">
        <f t="shared" ref="CF18:CG20" si="109">F20</f>
        <v>12400752.312759999</v>
      </c>
      <c r="CG18" s="849">
        <f t="shared" si="109"/>
        <v>0.59602549136926886</v>
      </c>
      <c r="CH18" s="802">
        <f t="shared" si="95"/>
        <v>0.20714291107312044</v>
      </c>
      <c r="CI18" s="851">
        <f t="shared" si="63"/>
        <v>1.0916044679861714</v>
      </c>
      <c r="CJ18" s="802">
        <f t="shared" si="96"/>
        <v>4.1848138382024169E-2</v>
      </c>
      <c r="CK18" s="12"/>
      <c r="CL18" s="13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3"/>
      <c r="CZ18" s="12"/>
      <c r="DA18" s="287"/>
      <c r="DB18" s="12"/>
      <c r="DC18" s="12"/>
      <c r="DD18" s="12"/>
      <c r="DE18" s="12"/>
      <c r="DF18" s="12"/>
      <c r="DG18" s="12"/>
      <c r="DH18" s="12"/>
      <c r="DI18" s="13"/>
      <c r="DJ18" s="12"/>
      <c r="DK18" s="12"/>
      <c r="DL18" s="12"/>
      <c r="DM18" s="12"/>
      <c r="DN18" s="12"/>
      <c r="DO18" s="12"/>
      <c r="DP18" s="12"/>
      <c r="DQ18" s="12"/>
      <c r="DR18" s="1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3"/>
      <c r="EF18" s="12"/>
      <c r="EG18" s="12"/>
      <c r="EH18" s="12"/>
      <c r="EI18" s="12"/>
      <c r="EJ18" s="12"/>
      <c r="EK18" s="12"/>
      <c r="EL18" s="232"/>
      <c r="EM18" s="12"/>
      <c r="EN18" s="12"/>
      <c r="EO18" s="12"/>
      <c r="EP18" s="12"/>
      <c r="EQ18" s="12"/>
      <c r="ER18" s="266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266"/>
      <c r="FI18" s="12"/>
      <c r="FJ18" s="192">
        <f t="shared" si="78"/>
        <v>13</v>
      </c>
      <c r="FK18" s="265"/>
      <c r="FL18" s="878" t="s">
        <v>218</v>
      </c>
      <c r="FM18" s="860">
        <v>46359.069999999985</v>
      </c>
      <c r="FN18" s="860">
        <v>56738.55999999999</v>
      </c>
      <c r="FO18" s="860">
        <v>59444.51999999999</v>
      </c>
      <c r="FP18" s="801">
        <f t="shared" si="21"/>
        <v>162542.14999999997</v>
      </c>
      <c r="FQ18" s="860">
        <v>46359.069999999985</v>
      </c>
      <c r="FR18" s="860">
        <v>56738.55999999999</v>
      </c>
      <c r="FS18" s="860">
        <v>59660.01999999999</v>
      </c>
      <c r="FT18" s="860">
        <v>162757.64999999997</v>
      </c>
      <c r="FU18" s="955">
        <v>162757.64999999997</v>
      </c>
      <c r="FV18" s="16"/>
      <c r="FW18" s="266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3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3"/>
      <c r="GX18" s="12"/>
      <c r="GY18" s="12"/>
      <c r="GZ18" s="192">
        <v>13</v>
      </c>
      <c r="HA18" s="886">
        <v>13</v>
      </c>
      <c r="HB18" s="886">
        <v>10</v>
      </c>
      <c r="HC18" s="886">
        <v>10</v>
      </c>
      <c r="HD18" s="887">
        <v>107393163</v>
      </c>
      <c r="HE18" s="887">
        <v>109881634</v>
      </c>
      <c r="HF18" s="800">
        <f t="shared" si="22"/>
        <v>1</v>
      </c>
      <c r="HG18" s="800">
        <f t="shared" si="23"/>
        <v>1.023171596128517</v>
      </c>
      <c r="HH18" s="802">
        <v>0</v>
      </c>
      <c r="HI18" s="802">
        <v>1</v>
      </c>
      <c r="HJ18" s="802">
        <v>0</v>
      </c>
      <c r="HK18" s="12"/>
      <c r="HL18" s="13"/>
      <c r="HM18" s="12"/>
      <c r="HN18" s="267">
        <v>13</v>
      </c>
      <c r="HO18" s="892">
        <v>13</v>
      </c>
      <c r="HP18" s="799">
        <f t="shared" si="2"/>
        <v>1.023171596128517</v>
      </c>
      <c r="HQ18" s="860">
        <v>27775.331600000001</v>
      </c>
      <c r="HR18" s="801">
        <f t="shared" si="24"/>
        <v>28418.93036617084</v>
      </c>
      <c r="HS18" s="860">
        <v>11862742</v>
      </c>
      <c r="HT18" s="975">
        <v>12146248</v>
      </c>
      <c r="HU18" s="860">
        <v>5631426.6320999991</v>
      </c>
      <c r="HV18" s="975">
        <v>6209842</v>
      </c>
      <c r="HW18" s="860">
        <v>225000</v>
      </c>
      <c r="HX18" s="955">
        <v>225000</v>
      </c>
      <c r="HY18" s="860">
        <f t="shared" si="25"/>
        <v>5884201.9636999993</v>
      </c>
      <c r="HZ18" s="860">
        <f t="shared" si="25"/>
        <v>6463260.9303661706</v>
      </c>
      <c r="IA18" s="206"/>
      <c r="IB18" s="207"/>
      <c r="IC18" s="206"/>
      <c r="ID18" s="208">
        <v>13</v>
      </c>
      <c r="IE18" s="892">
        <v>13</v>
      </c>
      <c r="IF18" s="896">
        <f t="shared" si="3"/>
        <v>1</v>
      </c>
      <c r="IG18" s="897">
        <f t="shared" si="3"/>
        <v>1.023171596128517</v>
      </c>
      <c r="IH18" s="955">
        <v>2205203.5761924665</v>
      </c>
      <c r="II18" s="801">
        <f t="shared" si="64"/>
        <v>2256301.6628411599</v>
      </c>
      <c r="IJ18" s="955">
        <v>67547.691000000006</v>
      </c>
      <c r="IK18" s="801">
        <f t="shared" si="26"/>
        <v>69112.878815265867</v>
      </c>
      <c r="IL18" s="955">
        <v>1259192.0478075333</v>
      </c>
      <c r="IM18" s="801">
        <f t="shared" si="82"/>
        <v>1259192.0478075333</v>
      </c>
      <c r="IN18" s="955">
        <v>1272524.4114888334</v>
      </c>
      <c r="IO18" s="995">
        <v>1272524.4114888334</v>
      </c>
      <c r="IP18" s="955">
        <v>139071.08429999999</v>
      </c>
      <c r="IQ18" s="801">
        <f t="shared" si="27"/>
        <v>142293.58329855453</v>
      </c>
      <c r="IR18" s="955">
        <v>69474.350399999981</v>
      </c>
      <c r="IS18" s="801">
        <f t="shared" si="28"/>
        <v>71084.181988759854</v>
      </c>
      <c r="IT18" s="955">
        <v>183955.41</v>
      </c>
      <c r="IU18" s="801">
        <f t="shared" si="29"/>
        <v>188217.95046617577</v>
      </c>
      <c r="IV18" s="955">
        <v>549829.40595000004</v>
      </c>
      <c r="IW18" s="801">
        <f t="shared" si="30"/>
        <v>562569.83088425593</v>
      </c>
      <c r="IX18" s="860">
        <f t="shared" si="31"/>
        <v>5746797.9771388331</v>
      </c>
      <c r="IY18" s="860">
        <f t="shared" si="31"/>
        <v>5821296.5475905379</v>
      </c>
      <c r="IZ18" s="898">
        <f t="shared" si="4"/>
        <v>5.2977884799115182</v>
      </c>
      <c r="JA18" s="12"/>
      <c r="JB18" s="13"/>
      <c r="JC18" s="12"/>
      <c r="JD18" s="192">
        <v>13</v>
      </c>
      <c r="JE18" s="886">
        <v>13</v>
      </c>
      <c r="JF18" s="796">
        <f t="shared" si="5"/>
        <v>10</v>
      </c>
      <c r="JG18" s="804">
        <f t="shared" si="32"/>
        <v>10</v>
      </c>
      <c r="JH18" s="859">
        <f t="shared" si="6"/>
        <v>109881634</v>
      </c>
      <c r="JI18" s="859">
        <f t="shared" si="83"/>
        <v>109905622.16562089</v>
      </c>
      <c r="JJ18" s="904">
        <f t="shared" si="33"/>
        <v>1</v>
      </c>
      <c r="JK18" s="904">
        <f t="shared" si="34"/>
        <v>1.0002183091454655</v>
      </c>
      <c r="JL18" s="904">
        <f t="shared" si="35"/>
        <v>1.0303596549304708</v>
      </c>
      <c r="JM18" s="886" t="s">
        <v>238</v>
      </c>
      <c r="JN18" s="209"/>
      <c r="JO18" s="210"/>
      <c r="JP18" s="209"/>
      <c r="JQ18" s="192">
        <v>13</v>
      </c>
      <c r="JR18" s="886">
        <v>13</v>
      </c>
      <c r="JS18" s="910" t="str">
        <f t="shared" si="7"/>
        <v>Q3</v>
      </c>
      <c r="JT18" s="911">
        <f t="shared" si="8"/>
        <v>1.0303596549304708</v>
      </c>
      <c r="JU18" s="860">
        <f t="shared" si="36"/>
        <v>28418.93036617084</v>
      </c>
      <c r="JV18" s="860">
        <f t="shared" si="37"/>
        <v>29281.719285580864</v>
      </c>
      <c r="JW18" s="860">
        <f t="shared" si="9"/>
        <v>12146248</v>
      </c>
      <c r="JX18" s="860">
        <f t="shared" si="38"/>
        <v>12127857.750726389</v>
      </c>
      <c r="JY18" s="860">
        <f t="shared" si="10"/>
        <v>6209842</v>
      </c>
      <c r="JZ18" s="860">
        <f t="shared" si="11"/>
        <v>5443496.3541434109</v>
      </c>
      <c r="KA18" s="860">
        <f t="shared" si="39"/>
        <v>225000</v>
      </c>
      <c r="KB18" s="860">
        <f t="shared" si="40"/>
        <v>237865.41868807055</v>
      </c>
      <c r="KC18" s="860">
        <f t="shared" si="41"/>
        <v>6463260.9303661706</v>
      </c>
      <c r="KD18" s="860">
        <f t="shared" si="41"/>
        <v>5710643.4921170631</v>
      </c>
      <c r="KE18" s="211"/>
      <c r="KF18" s="210"/>
      <c r="KG18" s="209"/>
      <c r="KH18" s="243">
        <f t="shared" si="65"/>
        <v>13</v>
      </c>
      <c r="KI18" s="891">
        <v>12</v>
      </c>
      <c r="KJ18" s="920">
        <f t="shared" si="66"/>
        <v>1</v>
      </c>
      <c r="KK18" s="920">
        <f t="shared" si="66"/>
        <v>1.0002183091454655</v>
      </c>
      <c r="KL18" s="683">
        <v>1.6626666699999999</v>
      </c>
      <c r="KM18" s="794">
        <f t="shared" si="67"/>
        <v>1629095.9058032455</v>
      </c>
      <c r="KN18" s="683">
        <v>1.6626666699999999</v>
      </c>
      <c r="KO18" s="794">
        <f t="shared" si="42"/>
        <v>104235.65841870032</v>
      </c>
      <c r="KP18" s="683">
        <v>1.6626666699999999</v>
      </c>
      <c r="KQ18" s="794">
        <f t="shared" si="43"/>
        <v>1030031.2448311668</v>
      </c>
      <c r="KR18" s="683">
        <v>1.6626666699999999</v>
      </c>
      <c r="KS18" s="794">
        <f t="shared" si="68"/>
        <v>1090200.7689247492</v>
      </c>
      <c r="KT18" s="683">
        <v>1.6626666699999999</v>
      </c>
      <c r="KU18" s="794">
        <f t="shared" si="44"/>
        <v>102371.67562035768</v>
      </c>
      <c r="KV18" s="683">
        <v>1.6626666699999999</v>
      </c>
      <c r="KW18" s="794">
        <f t="shared" si="45"/>
        <v>90645.45902609246</v>
      </c>
      <c r="KX18" s="683">
        <v>1.6626666699999999</v>
      </c>
      <c r="KY18" s="794">
        <f t="shared" si="46"/>
        <v>161731.49468145473</v>
      </c>
      <c r="KZ18" s="683">
        <v>1.6626666699999999</v>
      </c>
      <c r="LA18" s="794">
        <f t="shared" si="47"/>
        <v>656762.43893187365</v>
      </c>
      <c r="LB18" s="650">
        <f t="shared" si="48"/>
        <v>4721725.6969439117</v>
      </c>
      <c r="LC18" s="650">
        <f t="shared" si="79"/>
        <v>4865074.6462376406</v>
      </c>
      <c r="LD18" s="16"/>
      <c r="LE18" s="220"/>
      <c r="LF18" s="12"/>
      <c r="LG18" s="192">
        <v>13</v>
      </c>
      <c r="LH18" s="921">
        <v>13</v>
      </c>
      <c r="LI18" s="860">
        <f t="shared" si="12"/>
        <v>5884201.9636999993</v>
      </c>
      <c r="LJ18" s="860">
        <f t="shared" si="12"/>
        <v>6463260.9303661706</v>
      </c>
      <c r="LK18" s="801">
        <f t="shared" si="13"/>
        <v>5710643.4921170631</v>
      </c>
      <c r="LL18" s="860">
        <f t="shared" si="14"/>
        <v>5746797.9771388331</v>
      </c>
      <c r="LM18" s="860">
        <f t="shared" si="14"/>
        <v>5821296.5475905379</v>
      </c>
      <c r="LN18" s="801">
        <f t="shared" si="49"/>
        <v>5998029.1020233277</v>
      </c>
      <c r="LO18" s="860">
        <f t="shared" si="50"/>
        <v>137403.98656116612</v>
      </c>
      <c r="LP18" s="860">
        <f t="shared" si="50"/>
        <v>641964.38277563266</v>
      </c>
      <c r="LQ18" s="860">
        <f t="shared" si="50"/>
        <v>-287385.60990626458</v>
      </c>
      <c r="LR18" s="12"/>
      <c r="LS18" s="13"/>
      <c r="LT18" s="12"/>
      <c r="LU18" s="12"/>
      <c r="LV18" s="12"/>
      <c r="LW18" s="12"/>
      <c r="LX18" s="12"/>
      <c r="LY18" s="13"/>
      <c r="LZ18" s="12"/>
      <c r="MA18" s="222">
        <f t="shared" si="80"/>
        <v>12</v>
      </c>
      <c r="MB18" s="812" t="s">
        <v>52</v>
      </c>
      <c r="MC18" s="650">
        <f t="shared" si="102"/>
        <v>6372039.7741681812</v>
      </c>
      <c r="MD18" s="747">
        <f t="shared" si="103"/>
        <v>0.29035743471963715</v>
      </c>
      <c r="ME18" s="660"/>
      <c r="MF18" s="792">
        <f t="shared" si="104"/>
        <v>6372039.7741681812</v>
      </c>
      <c r="MG18" s="747">
        <f t="shared" si="105"/>
        <v>0.29035743471963715</v>
      </c>
      <c r="MH18" s="12"/>
      <c r="MI18" s="13"/>
      <c r="MJ18" s="12"/>
      <c r="MK18" s="222">
        <f t="shared" si="81"/>
        <v>12</v>
      </c>
      <c r="ML18" s="231" t="str">
        <f t="shared" si="53"/>
        <v>Equipment</v>
      </c>
      <c r="MM18" s="979">
        <v>5448128.1456260383</v>
      </c>
      <c r="MN18" s="650">
        <f t="shared" si="106"/>
        <v>6372039.7741681812</v>
      </c>
      <c r="MO18" s="650">
        <f t="shared" si="70"/>
        <v>923911.62854214292</v>
      </c>
      <c r="MP18" s="823">
        <f t="shared" si="71"/>
        <v>0.16958331446074626</v>
      </c>
      <c r="MQ18" s="12"/>
      <c r="MR18" s="13"/>
      <c r="MS18" s="12"/>
    </row>
    <row r="19" spans="1:357" ht="16.5" x14ac:dyDescent="0.3">
      <c r="B19" s="143">
        <f t="shared" si="72"/>
        <v>14</v>
      </c>
      <c r="C19" s="223"/>
      <c r="D19" s="660" t="s">
        <v>50</v>
      </c>
      <c r="E19" s="791"/>
      <c r="F19" s="792">
        <f>EY9</f>
        <v>3796647.1770000006</v>
      </c>
      <c r="G19" s="793">
        <f t="shared" si="97"/>
        <v>0.1824807432770606</v>
      </c>
      <c r="H19" s="792">
        <f>FF9</f>
        <v>3622420.2399469693</v>
      </c>
      <c r="I19" s="724">
        <f t="shared" si="98"/>
        <v>0.17319471074602244</v>
      </c>
      <c r="J19" s="794">
        <f t="shared" si="54"/>
        <v>-174226.93705303129</v>
      </c>
      <c r="K19" s="792">
        <f>IQ26+IS26</f>
        <v>3898827.7473696326</v>
      </c>
      <c r="L19" s="724">
        <f t="shared" si="99"/>
        <v>0.17769831967925684</v>
      </c>
      <c r="M19" s="794">
        <f t="shared" si="55"/>
        <v>276407.50742266327</v>
      </c>
      <c r="N19" s="792">
        <f>KU27+KW27</f>
        <v>4032307.9799228488</v>
      </c>
      <c r="O19" s="724">
        <f t="shared" si="100"/>
        <v>0.18374188525883151</v>
      </c>
      <c r="P19" s="794">
        <f t="shared" si="56"/>
        <v>133480.23255321616</v>
      </c>
      <c r="Q19" s="792">
        <f t="shared" si="57"/>
        <v>235660.80292284815</v>
      </c>
      <c r="R19" s="723">
        <f t="shared" si="58"/>
        <v>6.9110962566396594E-3</v>
      </c>
      <c r="V19" s="252">
        <f t="shared" si="59"/>
        <v>10</v>
      </c>
      <c r="W19" s="806" t="s">
        <v>179</v>
      </c>
      <c r="X19" s="800">
        <f>X18/N$24*100</f>
        <v>-0.17381964438955932</v>
      </c>
      <c r="Y19" s="800">
        <f>Y18/N$24*100</f>
        <v>3.9277962142231448E-2</v>
      </c>
      <c r="Z19" s="800">
        <f>Z18/N$24*100</f>
        <v>0.31140636781684078</v>
      </c>
      <c r="AA19" s="800">
        <f>AA18/N$24*100</f>
        <v>0.17686468556951293</v>
      </c>
      <c r="AB19" s="227"/>
      <c r="AC19" s="233"/>
      <c r="AF19" s="165">
        <f t="shared" si="73"/>
        <v>13</v>
      </c>
      <c r="AG19" s="812" t="s">
        <v>77</v>
      </c>
      <c r="AH19" s="813">
        <f>AH15*KK27</f>
        <v>1856295.9623258819</v>
      </c>
      <c r="AI19" s="813">
        <f>AI15*KK27</f>
        <v>92225.506785759979</v>
      </c>
      <c r="AJ19" s="813">
        <f>AJ15*KJ27</f>
        <v>585111.37535486498</v>
      </c>
      <c r="AL19" s="299"/>
      <c r="AN19" s="222">
        <f t="shared" si="108"/>
        <v>14</v>
      </c>
      <c r="AO19" s="2"/>
      <c r="AP19" s="317" t="s">
        <v>59</v>
      </c>
      <c r="AQ19" s="5"/>
      <c r="AR19" s="224"/>
      <c r="AS19" s="233">
        <v>32802383.3928</v>
      </c>
      <c r="AT19" s="234">
        <v>3.1987333437832652</v>
      </c>
      <c r="AU19" s="235"/>
      <c r="AV19" s="233">
        <v>36250313.730549999</v>
      </c>
      <c r="AW19" s="234">
        <v>3.359065788539803</v>
      </c>
      <c r="AX19" s="236">
        <f t="shared" si="87"/>
        <v>5.012372946564736E-2</v>
      </c>
      <c r="AY19" s="235"/>
      <c r="AZ19" s="233">
        <v>43223045.707989462</v>
      </c>
      <c r="BA19" s="234">
        <v>3.3502683932407789</v>
      </c>
      <c r="BB19" s="236">
        <f t="shared" si="88"/>
        <v>-2.6190005950578188E-3</v>
      </c>
      <c r="BC19" s="235"/>
      <c r="BD19" s="233">
        <v>49380961.369565383</v>
      </c>
      <c r="BE19" s="234">
        <v>3.3578537497555252</v>
      </c>
      <c r="BF19" s="236">
        <f t="shared" si="89"/>
        <v>2.2641041326867395E-3</v>
      </c>
      <c r="BG19" s="235"/>
      <c r="BH19" s="233">
        <v>57308507.547660008</v>
      </c>
      <c r="BI19" s="234">
        <v>3.7711862224659241</v>
      </c>
      <c r="BJ19" s="236">
        <f t="shared" si="90"/>
        <v>0.12309424516791179</v>
      </c>
      <c r="BK19" s="235"/>
      <c r="BL19" s="233">
        <v>61753474.575707734</v>
      </c>
      <c r="BM19" s="234">
        <v>3.6711456534132534</v>
      </c>
      <c r="BN19" s="236">
        <f t="shared" si="91"/>
        <v>-2.6527613103989212E-2</v>
      </c>
      <c r="BO19" s="235"/>
      <c r="BP19" s="233">
        <v>74174917.572400004</v>
      </c>
      <c r="BQ19" s="234">
        <v>3.9990987993156044</v>
      </c>
      <c r="BR19" s="236">
        <f t="shared" si="92"/>
        <v>8.9332643502563425E-2</v>
      </c>
      <c r="BS19" s="235"/>
      <c r="BT19" s="12">
        <v>83233170</v>
      </c>
      <c r="BU19" s="12">
        <v>4.24</v>
      </c>
      <c r="BV19" s="12">
        <f t="shared" si="93"/>
        <v>6.0238871999267252E-2</v>
      </c>
      <c r="BW19" s="237">
        <v>91278660.188299984</v>
      </c>
      <c r="BX19" s="238">
        <v>4.7155047883804926</v>
      </c>
      <c r="BY19" s="239">
        <f t="shared" si="60"/>
        <v>0.11214735575011603</v>
      </c>
      <c r="BZ19" s="239">
        <v>96836161.677461118</v>
      </c>
      <c r="CA19" s="239">
        <v>4.7471100714133083</v>
      </c>
      <c r="CB19" s="239">
        <f t="shared" si="61"/>
        <v>6.7024177582630795E-3</v>
      </c>
      <c r="CC19" s="956">
        <v>99050498.270500004</v>
      </c>
      <c r="CD19" s="956">
        <v>4.7657348067469085</v>
      </c>
      <c r="CE19" s="852">
        <f t="shared" si="101"/>
        <v>3.923383922727286E-3</v>
      </c>
      <c r="CF19" s="792">
        <f t="shared" si="109"/>
        <v>104216563.686424</v>
      </c>
      <c r="CG19" s="824">
        <f t="shared" si="109"/>
        <v>5.0090290502861157</v>
      </c>
      <c r="CH19" s="852">
        <f t="shared" si="95"/>
        <v>5.1050730559907054E-2</v>
      </c>
      <c r="CI19" s="825">
        <f t="shared" si="63"/>
        <v>2.1771033963739095</v>
      </c>
      <c r="CJ19" s="852">
        <f t="shared" si="96"/>
        <v>6.6327551373152493E-2</v>
      </c>
      <c r="DA19" s="287"/>
      <c r="DD19" s="12"/>
      <c r="DN19" s="12"/>
      <c r="DU19" s="12"/>
      <c r="DV19" s="12"/>
      <c r="DW19" s="12"/>
      <c r="DX19" s="12"/>
      <c r="DY19" s="12"/>
      <c r="ER19" s="266"/>
      <c r="FH19" s="266"/>
      <c r="FJ19" s="222">
        <f t="shared" si="78"/>
        <v>14</v>
      </c>
      <c r="FK19" s="242"/>
      <c r="FL19" s="877" t="s">
        <v>219</v>
      </c>
      <c r="FM19" s="650">
        <v>77710.069000000003</v>
      </c>
      <c r="FN19" s="650">
        <v>100417.86000000002</v>
      </c>
      <c r="FO19" s="650">
        <v>103913.43999999997</v>
      </c>
      <c r="FP19" s="794">
        <f t="shared" si="21"/>
        <v>282041.36899999995</v>
      </c>
      <c r="FQ19" s="650">
        <v>77710.069000000003</v>
      </c>
      <c r="FR19" s="650">
        <v>100417.86000000002</v>
      </c>
      <c r="FS19" s="650">
        <v>103913.43999999997</v>
      </c>
      <c r="FT19" s="650">
        <v>282041.36900000001</v>
      </c>
      <c r="FU19" s="955">
        <v>282041.36900000001</v>
      </c>
      <c r="FV19" s="16"/>
      <c r="FW19" s="266"/>
      <c r="GZ19" s="222">
        <v>14</v>
      </c>
      <c r="HA19" s="663">
        <v>14</v>
      </c>
      <c r="HB19" s="663">
        <v>10</v>
      </c>
      <c r="HC19" s="663">
        <v>10</v>
      </c>
      <c r="HD19" s="682">
        <v>132064156</v>
      </c>
      <c r="HE19" s="682">
        <v>135102781</v>
      </c>
      <c r="HF19" s="724">
        <f t="shared" si="22"/>
        <v>1</v>
      </c>
      <c r="HG19" s="724">
        <f t="shared" si="23"/>
        <v>1.0230087034365327</v>
      </c>
      <c r="HH19" s="723">
        <v>0</v>
      </c>
      <c r="HI19" s="723">
        <v>0.8</v>
      </c>
      <c r="HJ19" s="723">
        <v>0.2</v>
      </c>
      <c r="HN19" s="243">
        <v>14</v>
      </c>
      <c r="HO19" s="891">
        <v>14</v>
      </c>
      <c r="HP19" s="793">
        <f t="shared" si="2"/>
        <v>1.0230087034365327</v>
      </c>
      <c r="HQ19" s="650">
        <v>1559</v>
      </c>
      <c r="HR19" s="794">
        <f t="shared" si="24"/>
        <v>1594.8705686575545</v>
      </c>
      <c r="HS19" s="650">
        <v>14594739</v>
      </c>
      <c r="HT19" s="975">
        <v>14929180</v>
      </c>
      <c r="HU19" s="650">
        <v>6813415.3312999997</v>
      </c>
      <c r="HV19" s="975">
        <v>7704857</v>
      </c>
      <c r="HW19" s="650">
        <v>225000</v>
      </c>
      <c r="HX19" s="955">
        <v>225000</v>
      </c>
      <c r="HY19" s="650">
        <f t="shared" si="25"/>
        <v>7039974.3312999997</v>
      </c>
      <c r="HZ19" s="650">
        <f t="shared" si="25"/>
        <v>7931451.8705686573</v>
      </c>
      <c r="IA19" s="206"/>
      <c r="IB19" s="207"/>
      <c r="IC19" s="206"/>
      <c r="ID19" s="244">
        <v>14</v>
      </c>
      <c r="IE19" s="891">
        <v>14</v>
      </c>
      <c r="IF19" s="899">
        <f t="shared" si="3"/>
        <v>1</v>
      </c>
      <c r="IG19" s="900">
        <f t="shared" si="3"/>
        <v>1.0230087034365327</v>
      </c>
      <c r="IH19" s="955">
        <v>2814805.8374684127</v>
      </c>
      <c r="II19" s="794">
        <f t="shared" si="64"/>
        <v>2879570.8702141447</v>
      </c>
      <c r="IJ19" s="955">
        <v>64094.05999999999</v>
      </c>
      <c r="IK19" s="794">
        <f t="shared" si="26"/>
        <v>65568.781218583317</v>
      </c>
      <c r="IL19" s="955">
        <v>1235568.3125315872</v>
      </c>
      <c r="IM19" s="794">
        <f t="shared" si="82"/>
        <v>1235568.3125315872</v>
      </c>
      <c r="IN19" s="955">
        <v>1503458.4280395084</v>
      </c>
      <c r="IO19" s="995">
        <v>1503458.4280395084</v>
      </c>
      <c r="IP19" s="955">
        <v>73355.464999999997</v>
      </c>
      <c r="IQ19" s="794">
        <f t="shared" si="27"/>
        <v>75043.279139633945</v>
      </c>
      <c r="IR19" s="955">
        <v>65086.974999999999</v>
      </c>
      <c r="IS19" s="794">
        <f t="shared" si="28"/>
        <v>66584.541905356018</v>
      </c>
      <c r="IT19" s="955">
        <v>265277.03000000003</v>
      </c>
      <c r="IU19" s="794">
        <f t="shared" si="29"/>
        <v>271380.7105117942</v>
      </c>
      <c r="IV19" s="955">
        <v>767825.7013999999</v>
      </c>
      <c r="IW19" s="794">
        <f t="shared" si="30"/>
        <v>785492.37525446026</v>
      </c>
      <c r="IX19" s="650">
        <f t="shared" si="31"/>
        <v>6789471.8094395082</v>
      </c>
      <c r="IY19" s="650">
        <f t="shared" si="31"/>
        <v>6882667.2988150679</v>
      </c>
      <c r="IZ19" s="683">
        <f t="shared" si="4"/>
        <v>5.0943935038724835</v>
      </c>
      <c r="JD19" s="222">
        <v>14</v>
      </c>
      <c r="JE19" s="663">
        <v>14</v>
      </c>
      <c r="JF19" s="660">
        <f t="shared" si="5"/>
        <v>10</v>
      </c>
      <c r="JG19" s="729">
        <f>JF19</f>
        <v>10</v>
      </c>
      <c r="JH19" s="905">
        <f t="shared" si="6"/>
        <v>135102781</v>
      </c>
      <c r="JI19" s="905">
        <f t="shared" si="83"/>
        <v>135132275.17267013</v>
      </c>
      <c r="JJ19" s="906">
        <f t="shared" si="33"/>
        <v>1</v>
      </c>
      <c r="JK19" s="906">
        <f t="shared" si="34"/>
        <v>1.0002183091454655</v>
      </c>
      <c r="JL19" s="906">
        <f t="shared" si="35"/>
        <v>1.0303679643972687</v>
      </c>
      <c r="JM19" s="663" t="s">
        <v>238</v>
      </c>
      <c r="JN19" s="209"/>
      <c r="JO19" s="210"/>
      <c r="JP19" s="209"/>
      <c r="JQ19" s="222">
        <v>14</v>
      </c>
      <c r="JR19" s="663">
        <v>14</v>
      </c>
      <c r="JS19" s="914" t="str">
        <f t="shared" si="7"/>
        <v>Q3</v>
      </c>
      <c r="JT19" s="913">
        <f t="shared" si="8"/>
        <v>1.0303679643972687</v>
      </c>
      <c r="JU19" s="671">
        <f t="shared" si="36"/>
        <v>1594.8705686575545</v>
      </c>
      <c r="JV19" s="671">
        <f t="shared" si="37"/>
        <v>1643.303541304799</v>
      </c>
      <c r="JW19" s="671">
        <f t="shared" si="9"/>
        <v>14929180</v>
      </c>
      <c r="JX19" s="671">
        <f t="shared" si="38"/>
        <v>14911566.656312553</v>
      </c>
      <c r="JY19" s="671">
        <f t="shared" si="10"/>
        <v>7704857</v>
      </c>
      <c r="JZ19" s="671">
        <f t="shared" si="11"/>
        <v>6692942.8425512463</v>
      </c>
      <c r="KA19" s="671">
        <f t="shared" si="39"/>
        <v>225000</v>
      </c>
      <c r="KB19" s="671">
        <f t="shared" si="40"/>
        <v>292462.70189691306</v>
      </c>
      <c r="KC19" s="671">
        <f t="shared" si="41"/>
        <v>7931451.8705686573</v>
      </c>
      <c r="KD19" s="671">
        <f t="shared" si="41"/>
        <v>6987048.8479894642</v>
      </c>
      <c r="KE19" s="211"/>
      <c r="KF19" s="210"/>
      <c r="KG19" s="209"/>
      <c r="KH19" s="245">
        <f t="shared" si="65"/>
        <v>14</v>
      </c>
      <c r="KI19" s="917">
        <v>13</v>
      </c>
      <c r="KJ19" s="918">
        <f t="shared" si="66"/>
        <v>1</v>
      </c>
      <c r="KK19" s="918">
        <f t="shared" si="66"/>
        <v>1.0002183091454655</v>
      </c>
      <c r="KL19" s="898">
        <v>1.6626666699999999</v>
      </c>
      <c r="KM19" s="801">
        <f t="shared" si="67"/>
        <v>2325022.9014090234</v>
      </c>
      <c r="KN19" s="898">
        <v>1.6626666699999999</v>
      </c>
      <c r="KO19" s="801">
        <f t="shared" si="42"/>
        <v>71217.882198189007</v>
      </c>
      <c r="KP19" s="898">
        <v>1.6626666699999999</v>
      </c>
      <c r="KQ19" s="801">
        <f t="shared" si="43"/>
        <v>1297260.6470498368</v>
      </c>
      <c r="KR19" s="898">
        <v>1.6626666699999999</v>
      </c>
      <c r="KS19" s="801">
        <f t="shared" si="68"/>
        <v>1310996.0822171902</v>
      </c>
      <c r="KT19" s="898">
        <v>1.6626666699999999</v>
      </c>
      <c r="KU19" s="801">
        <f t="shared" si="44"/>
        <v>146627.48573969479</v>
      </c>
      <c r="KV19" s="898">
        <v>1.6626666699999999</v>
      </c>
      <c r="KW19" s="801">
        <f t="shared" si="45"/>
        <v>73249.226277518537</v>
      </c>
      <c r="KX19" s="898">
        <v>1.6626666699999999</v>
      </c>
      <c r="KY19" s="801">
        <f t="shared" si="46"/>
        <v>193950.59290923149</v>
      </c>
      <c r="KZ19" s="898">
        <v>1.6626666699999999</v>
      </c>
      <c r="LA19" s="919">
        <f t="shared" si="47"/>
        <v>579704.28422264417</v>
      </c>
      <c r="LB19" s="646">
        <f t="shared" si="48"/>
        <v>5821296.5475905379</v>
      </c>
      <c r="LC19" s="646">
        <f t="shared" si="79"/>
        <v>5998029.1020233277</v>
      </c>
      <c r="LD19" s="16"/>
      <c r="LE19" s="220"/>
      <c r="LG19" s="222">
        <v>14</v>
      </c>
      <c r="LH19" s="922">
        <v>14</v>
      </c>
      <c r="LI19" s="650">
        <f t="shared" si="12"/>
        <v>7039974.3312999997</v>
      </c>
      <c r="LJ19" s="650">
        <f t="shared" si="12"/>
        <v>7931451.8705686573</v>
      </c>
      <c r="LK19" s="794">
        <f t="shared" si="13"/>
        <v>6987048.8479894642</v>
      </c>
      <c r="LL19" s="650">
        <f t="shared" si="14"/>
        <v>6789471.8094395082</v>
      </c>
      <c r="LM19" s="650">
        <f t="shared" si="14"/>
        <v>6882667.2988150679</v>
      </c>
      <c r="LN19" s="794">
        <f t="shared" si="49"/>
        <v>7091679.8943037298</v>
      </c>
      <c r="LO19" s="650">
        <f t="shared" si="50"/>
        <v>250502.52186049148</v>
      </c>
      <c r="LP19" s="650">
        <f t="shared" si="50"/>
        <v>1048784.5717535894</v>
      </c>
      <c r="LQ19" s="650">
        <f t="shared" si="50"/>
        <v>-104631.04631426558</v>
      </c>
      <c r="MA19" s="192">
        <f t="shared" si="80"/>
        <v>13</v>
      </c>
      <c r="MB19" s="814" t="s">
        <v>50</v>
      </c>
      <c r="MC19" s="860">
        <f t="shared" si="102"/>
        <v>4032307.9799228488</v>
      </c>
      <c r="MD19" s="928">
        <f t="shared" si="103"/>
        <v>0.18374188525883151</v>
      </c>
      <c r="ME19" s="796"/>
      <c r="MF19" s="798">
        <f t="shared" si="104"/>
        <v>4032307.9799228488</v>
      </c>
      <c r="MG19" s="928">
        <f t="shared" si="105"/>
        <v>0.18374188525883151</v>
      </c>
      <c r="MK19" s="192">
        <f t="shared" si="81"/>
        <v>13</v>
      </c>
      <c r="ML19" s="253" t="str">
        <f t="shared" si="53"/>
        <v>Vehicle</v>
      </c>
      <c r="MM19" s="979">
        <v>3545647.9071340258</v>
      </c>
      <c r="MN19" s="860">
        <f t="shared" si="106"/>
        <v>4032307.9799228488</v>
      </c>
      <c r="MO19" s="860">
        <f t="shared" si="70"/>
        <v>486660.07278882293</v>
      </c>
      <c r="MP19" s="802">
        <f t="shared" si="71"/>
        <v>0.13725561181910867</v>
      </c>
    </row>
    <row r="20" spans="1:357" s="29" customFormat="1" ht="16.5" x14ac:dyDescent="0.3">
      <c r="B20" s="181">
        <f t="shared" si="72"/>
        <v>15</v>
      </c>
      <c r="C20" s="251"/>
      <c r="D20" s="804" t="s">
        <v>53</v>
      </c>
      <c r="E20" s="797"/>
      <c r="F20" s="798">
        <f>FP36</f>
        <v>12400752.312759999</v>
      </c>
      <c r="G20" s="799">
        <f t="shared" si="97"/>
        <v>0.59602549136926886</v>
      </c>
      <c r="H20" s="798">
        <f>FU36</f>
        <v>12035251.726130454</v>
      </c>
      <c r="I20" s="800">
        <f t="shared" si="98"/>
        <v>0.57542797450061911</v>
      </c>
      <c r="J20" s="801">
        <f t="shared" si="54"/>
        <v>-365500.58662954532</v>
      </c>
      <c r="K20" s="798">
        <f>IW26</f>
        <v>12737461.434445117</v>
      </c>
      <c r="L20" s="800">
        <f t="shared" si="99"/>
        <v>0.58054000857238874</v>
      </c>
      <c r="M20" s="801">
        <f t="shared" si="55"/>
        <v>702209.7083146628</v>
      </c>
      <c r="N20" s="798">
        <f>LA27</f>
        <v>13172195.101401502</v>
      </c>
      <c r="O20" s="800">
        <f t="shared" si="100"/>
        <v>0.60022299213736274</v>
      </c>
      <c r="P20" s="801">
        <f t="shared" si="56"/>
        <v>434733.6669563856</v>
      </c>
      <c r="Q20" s="798">
        <f t="shared" si="57"/>
        <v>771442.78864150308</v>
      </c>
      <c r="R20" s="802">
        <f t="shared" si="58"/>
        <v>7.0424853112420749E-3</v>
      </c>
      <c r="S20" s="12"/>
      <c r="T20" s="13"/>
      <c r="U20" s="12"/>
      <c r="V20" s="165">
        <f t="shared" si="59"/>
        <v>11</v>
      </c>
      <c r="W20" s="808" t="s">
        <v>132</v>
      </c>
      <c r="X20" s="650">
        <f>X18-X14</f>
        <v>-3834720.2353030583</v>
      </c>
      <c r="Y20" s="650">
        <f t="shared" ref="Y20:AA20" si="110">Y18-Y14</f>
        <v>-5307037.1906472286</v>
      </c>
      <c r="Z20" s="650">
        <f t="shared" si="110"/>
        <v>-9558331.5218942761</v>
      </c>
      <c r="AA20" s="650">
        <f t="shared" si="110"/>
        <v>-18700088.947844561</v>
      </c>
      <c r="AB20" s="230"/>
      <c r="AC20" s="234"/>
      <c r="AD20" s="13"/>
      <c r="AE20" s="12"/>
      <c r="AF20" s="252">
        <f t="shared" si="73"/>
        <v>14</v>
      </c>
      <c r="AG20" s="814" t="s">
        <v>180</v>
      </c>
      <c r="AH20" s="815">
        <f>AH19*3600/$N$24</f>
        <v>3.0451184708403778</v>
      </c>
      <c r="AI20" s="815">
        <f>AI19*3600/$N$24</f>
        <v>0.15128923398834063</v>
      </c>
      <c r="AJ20" s="815">
        <f>AJ19*3600/$N$24</f>
        <v>0.95983264132054646</v>
      </c>
      <c r="AK20" s="12"/>
      <c r="AL20" s="299"/>
      <c r="AM20" s="12"/>
      <c r="AN20" s="192">
        <f t="shared" si="108"/>
        <v>15</v>
      </c>
      <c r="AO20" s="193"/>
      <c r="AP20" s="191" t="s">
        <v>220</v>
      </c>
      <c r="AQ20" s="7"/>
      <c r="AR20" s="195"/>
      <c r="AS20" s="255">
        <v>8347158.8556000106</v>
      </c>
      <c r="AT20" s="256">
        <v>0.81397546749984451</v>
      </c>
      <c r="AU20" s="257"/>
      <c r="AV20" s="255">
        <v>7285795.8646500036</v>
      </c>
      <c r="AW20" s="256">
        <v>0.67512429859622292</v>
      </c>
      <c r="AX20" s="250">
        <f t="shared" si="87"/>
        <v>-0.17058397267193814</v>
      </c>
      <c r="AY20" s="257"/>
      <c r="AZ20" s="255">
        <v>9252422.5520105362</v>
      </c>
      <c r="BA20" s="256">
        <v>0.71716600089519644</v>
      </c>
      <c r="BB20" s="250">
        <f t="shared" si="88"/>
        <v>6.2272536163178183E-2</v>
      </c>
      <c r="BC20" s="257"/>
      <c r="BD20" s="255">
        <v>10915527.954034619</v>
      </c>
      <c r="BE20" s="256">
        <v>0.74224448966694945</v>
      </c>
      <c r="BF20" s="250">
        <f t="shared" si="89"/>
        <v>3.4968875742086292E-2</v>
      </c>
      <c r="BG20" s="257"/>
      <c r="BH20" s="255">
        <v>3838414.9907733351</v>
      </c>
      <c r="BI20" s="256">
        <v>0.25258689065096962</v>
      </c>
      <c r="BJ20" s="250">
        <f t="shared" si="90"/>
        <v>-0.65969853038005422</v>
      </c>
      <c r="BK20" s="257"/>
      <c r="BL20" s="255">
        <v>5658223.4029922634</v>
      </c>
      <c r="BM20" s="256">
        <v>0.33637236438364621</v>
      </c>
      <c r="BN20" s="250">
        <f t="shared" si="91"/>
        <v>0.33170951000958038</v>
      </c>
      <c r="BO20" s="257"/>
      <c r="BP20" s="255">
        <v>8558427.9676000625</v>
      </c>
      <c r="BQ20" s="256">
        <v>0.46142281150297859</v>
      </c>
      <c r="BR20" s="250">
        <f t="shared" si="92"/>
        <v>0.37176195300249848</v>
      </c>
      <c r="BS20" s="257"/>
      <c r="BT20" s="29">
        <v>12790093</v>
      </c>
      <c r="BU20" s="29">
        <v>0.65</v>
      </c>
      <c r="BV20" s="29">
        <f t="shared" si="93"/>
        <v>0.40868631501501773</v>
      </c>
      <c r="BW20" s="258">
        <v>16992816.141500026</v>
      </c>
      <c r="BX20" s="259">
        <v>0.87785804171546822</v>
      </c>
      <c r="BY20" s="260">
        <f t="shared" si="60"/>
        <v>0.35055083340841264</v>
      </c>
      <c r="BZ20" s="260">
        <v>13569776.854138836</v>
      </c>
      <c r="CA20" s="260">
        <v>0.66521868747413349</v>
      </c>
      <c r="CB20" s="260">
        <f t="shared" si="61"/>
        <v>-0.24222521653478857</v>
      </c>
      <c r="CC20" s="956">
        <v>5345041.1556581259</v>
      </c>
      <c r="CD20" s="956">
        <v>0.25717234263122563</v>
      </c>
      <c r="CE20" s="802">
        <f t="shared" si="101"/>
        <v>-0.61340180684381995</v>
      </c>
      <c r="CF20" s="798">
        <f t="shared" si="109"/>
        <v>7158976.8429704905</v>
      </c>
      <c r="CG20" s="831">
        <f t="shared" si="109"/>
        <v>0.3440865991769031</v>
      </c>
      <c r="CH20" s="802">
        <f t="shared" si="95"/>
        <v>0.33796113398674787</v>
      </c>
      <c r="CI20" s="832">
        <f>CF20/AS20-1</f>
        <v>-0.14234568110949308</v>
      </c>
      <c r="CJ20" s="802">
        <f t="shared" si="96"/>
        <v>-8.4945023382365648E-3</v>
      </c>
      <c r="CK20" s="12"/>
      <c r="CL20" s="13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3"/>
      <c r="CZ20" s="12"/>
      <c r="DA20" s="287"/>
      <c r="DB20" s="12"/>
      <c r="DC20" s="12"/>
      <c r="DD20" s="12"/>
      <c r="DE20" s="12"/>
      <c r="DF20" s="12"/>
      <c r="DG20" s="12"/>
      <c r="DH20" s="12"/>
      <c r="DI20" s="13"/>
      <c r="DJ20" s="12"/>
      <c r="DK20" s="12"/>
      <c r="DL20" s="12"/>
      <c r="DM20" s="12"/>
      <c r="DN20" s="12"/>
      <c r="DO20" s="12"/>
      <c r="DP20" s="12"/>
      <c r="DQ20" s="12"/>
      <c r="DR20" s="1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3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266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66"/>
      <c r="FI20" s="12"/>
      <c r="FJ20" s="312">
        <f t="shared" si="78"/>
        <v>15</v>
      </c>
      <c r="FK20" s="318"/>
      <c r="FL20" s="319" t="s">
        <v>221</v>
      </c>
      <c r="FM20" s="320">
        <f>SUM(FM7:FM19)</f>
        <v>1384457.0804999999</v>
      </c>
      <c r="FN20" s="320">
        <f>SUM(FN7:FN19)</f>
        <v>2365134.79</v>
      </c>
      <c r="FO20" s="320">
        <f>SUM(FO7:FO19)</f>
        <v>3499048.7027100003</v>
      </c>
      <c r="FP20" s="321">
        <f t="shared" si="21"/>
        <v>7248640.5732100001</v>
      </c>
      <c r="FQ20" s="320">
        <v>1361253.4714090908</v>
      </c>
      <c r="FR20" s="320">
        <v>2221615.8199999998</v>
      </c>
      <c r="FS20" s="320">
        <v>3507529.9327099998</v>
      </c>
      <c r="FT20" s="320">
        <v>7090399.2241190914</v>
      </c>
      <c r="FU20" s="971">
        <v>7090399.2241190914</v>
      </c>
      <c r="FV20" s="16"/>
      <c r="FW20" s="266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3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3"/>
      <c r="GX20" s="12"/>
      <c r="GY20" s="12"/>
      <c r="GZ20" s="192">
        <v>15</v>
      </c>
      <c r="HA20" s="886">
        <v>15</v>
      </c>
      <c r="HB20" s="886">
        <v>10</v>
      </c>
      <c r="HC20" s="886">
        <v>10</v>
      </c>
      <c r="HD20" s="887">
        <v>151054973</v>
      </c>
      <c r="HE20" s="887">
        <v>153653848</v>
      </c>
      <c r="HF20" s="800">
        <f t="shared" si="22"/>
        <v>1</v>
      </c>
      <c r="HG20" s="800">
        <f t="shared" si="23"/>
        <v>1.0172048291319744</v>
      </c>
      <c r="HH20" s="802">
        <v>0</v>
      </c>
      <c r="HI20" s="802">
        <v>0.6</v>
      </c>
      <c r="HJ20" s="802">
        <v>0.4</v>
      </c>
      <c r="HK20" s="12"/>
      <c r="HL20" s="13"/>
      <c r="HM20" s="12"/>
      <c r="HN20" s="267">
        <v>15</v>
      </c>
      <c r="HO20" s="892">
        <v>15</v>
      </c>
      <c r="HP20" s="799">
        <f t="shared" si="2"/>
        <v>1.0172048291319744</v>
      </c>
      <c r="HQ20" s="860">
        <v>107001.53</v>
      </c>
      <c r="HR20" s="801">
        <f>HP20*HQ20</f>
        <v>108842.47304050984</v>
      </c>
      <c r="HS20" s="860">
        <v>16599582</v>
      </c>
      <c r="HT20" s="975">
        <v>16910947</v>
      </c>
      <c r="HU20" s="860">
        <v>7195326.9701999994</v>
      </c>
      <c r="HV20" s="975">
        <v>8565286</v>
      </c>
      <c r="HW20" s="860">
        <v>225000</v>
      </c>
      <c r="HX20" s="955">
        <v>225000</v>
      </c>
      <c r="HY20" s="860">
        <f t="shared" si="25"/>
        <v>7527328.5001999997</v>
      </c>
      <c r="HZ20" s="860">
        <f t="shared" si="25"/>
        <v>8899128.47304051</v>
      </c>
      <c r="IA20" s="206"/>
      <c r="IB20" s="207"/>
      <c r="IC20" s="206"/>
      <c r="ID20" s="208">
        <v>15</v>
      </c>
      <c r="IE20" s="892">
        <v>15</v>
      </c>
      <c r="IF20" s="896">
        <f t="shared" si="3"/>
        <v>1</v>
      </c>
      <c r="IG20" s="897">
        <f t="shared" si="3"/>
        <v>1.0172048291319744</v>
      </c>
      <c r="IH20" s="955">
        <v>2939270.0717588281</v>
      </c>
      <c r="II20" s="801">
        <f t="shared" si="64"/>
        <v>2989839.7111161649</v>
      </c>
      <c r="IJ20" s="955">
        <v>164458.5644</v>
      </c>
      <c r="IK20" s="801">
        <f t="shared" si="26"/>
        <v>167288.04589979182</v>
      </c>
      <c r="IL20" s="955">
        <v>1239730.2338411715</v>
      </c>
      <c r="IM20" s="801">
        <f t="shared" si="82"/>
        <v>1239730.2338411715</v>
      </c>
      <c r="IN20" s="955">
        <v>1823650.9582650054</v>
      </c>
      <c r="IO20" s="995">
        <v>1823650.9582650054</v>
      </c>
      <c r="IP20" s="955">
        <v>148263.52149999997</v>
      </c>
      <c r="IQ20" s="801">
        <f t="shared" si="27"/>
        <v>150814.37005391228</v>
      </c>
      <c r="IR20" s="955">
        <v>61819.527166666667</v>
      </c>
      <c r="IS20" s="801">
        <f t="shared" si="28"/>
        <v>62883.12156858862</v>
      </c>
      <c r="IT20" s="955">
        <v>308605.27999999997</v>
      </c>
      <c r="IU20" s="801">
        <f t="shared" si="29"/>
        <v>313914.78111162508</v>
      </c>
      <c r="IV20" s="955">
        <v>575127.48739999998</v>
      </c>
      <c r="IW20" s="801">
        <f t="shared" si="30"/>
        <v>585022.45754981879</v>
      </c>
      <c r="IX20" s="860">
        <f t="shared" si="31"/>
        <v>7260925.6443316713</v>
      </c>
      <c r="IY20" s="860">
        <f t="shared" si="31"/>
        <v>7333143.6794060785</v>
      </c>
      <c r="IZ20" s="898">
        <f t="shared" si="4"/>
        <v>4.7725089705570403</v>
      </c>
      <c r="JA20" s="12"/>
      <c r="JB20" s="13"/>
      <c r="JC20" s="12"/>
      <c r="JD20" s="192">
        <v>15</v>
      </c>
      <c r="JE20" s="886">
        <v>15</v>
      </c>
      <c r="JF20" s="796">
        <f t="shared" si="5"/>
        <v>10</v>
      </c>
      <c r="JG20" s="804">
        <f>JF20</f>
        <v>10</v>
      </c>
      <c r="JH20" s="859">
        <f t="shared" si="6"/>
        <v>153653848</v>
      </c>
      <c r="JI20" s="859">
        <f t="shared" si="83"/>
        <v>153687392.04025435</v>
      </c>
      <c r="JJ20" s="904">
        <f t="shared" si="33"/>
        <v>1</v>
      </c>
      <c r="JK20" s="904">
        <f t="shared" si="34"/>
        <v>1.0002183091454655</v>
      </c>
      <c r="JL20" s="904">
        <f t="shared" si="35"/>
        <v>1.0441798478368425</v>
      </c>
      <c r="JM20" s="886" t="s">
        <v>425</v>
      </c>
      <c r="JN20" s="209"/>
      <c r="JO20" s="210"/>
      <c r="JP20" s="209"/>
      <c r="JQ20" s="192">
        <v>15</v>
      </c>
      <c r="JR20" s="886">
        <v>15</v>
      </c>
      <c r="JS20" s="910" t="str">
        <f t="shared" si="7"/>
        <v>Q2</v>
      </c>
      <c r="JT20" s="911">
        <f t="shared" si="8"/>
        <v>1.0441798478368425</v>
      </c>
      <c r="JU20" s="860">
        <f t="shared" si="36"/>
        <v>108842.47304050984</v>
      </c>
      <c r="JV20" s="860">
        <f t="shared" si="37"/>
        <v>113651.11693762519</v>
      </c>
      <c r="JW20" s="860">
        <f t="shared" si="9"/>
        <v>16910947</v>
      </c>
      <c r="JX20" s="860">
        <f t="shared" si="38"/>
        <v>16959085.368131079</v>
      </c>
      <c r="JY20" s="860">
        <f t="shared" si="10"/>
        <v>8565286</v>
      </c>
      <c r="JZ20" s="860">
        <f t="shared" si="11"/>
        <v>7611955.9833639339</v>
      </c>
      <c r="KA20" s="860">
        <f t="shared" si="39"/>
        <v>225000</v>
      </c>
      <c r="KB20" s="860">
        <f t="shared" si="40"/>
        <v>332620.98093256564</v>
      </c>
      <c r="KC20" s="860">
        <f t="shared" si="41"/>
        <v>8899128.47304051</v>
      </c>
      <c r="KD20" s="860">
        <f t="shared" si="41"/>
        <v>8058228.0812341245</v>
      </c>
      <c r="KE20" s="211"/>
      <c r="KF20" s="210"/>
      <c r="KG20" s="209"/>
      <c r="KH20" s="243">
        <f t="shared" si="65"/>
        <v>15</v>
      </c>
      <c r="KI20" s="891">
        <v>14</v>
      </c>
      <c r="KJ20" s="920">
        <f t="shared" si="66"/>
        <v>1</v>
      </c>
      <c r="KK20" s="920">
        <f t="shared" si="66"/>
        <v>1.0002183091454655</v>
      </c>
      <c r="KL20" s="683">
        <v>1.6626666699999999</v>
      </c>
      <c r="KM20" s="794">
        <f t="shared" si="67"/>
        <v>2967275.3115147264</v>
      </c>
      <c r="KN20" s="683">
        <v>1.6626666699999999</v>
      </c>
      <c r="KO20" s="794">
        <f t="shared" si="42"/>
        <v>67565.840357853012</v>
      </c>
      <c r="KP20" s="683">
        <v>1.6626666699999999</v>
      </c>
      <c r="KQ20" s="794">
        <f t="shared" si="43"/>
        <v>1272922.7057777585</v>
      </c>
      <c r="KR20" s="683">
        <v>1.6626666699999999</v>
      </c>
      <c r="KS20" s="794">
        <f t="shared" si="68"/>
        <v>1548911.8252986118</v>
      </c>
      <c r="KT20" s="683">
        <v>1.6626666699999999</v>
      </c>
      <c r="KU20" s="794">
        <f t="shared" si="44"/>
        <v>77328.90750821642</v>
      </c>
      <c r="KV20" s="683">
        <v>1.6626666699999999</v>
      </c>
      <c r="KW20" s="794">
        <f t="shared" si="45"/>
        <v>68612.538544532363</v>
      </c>
      <c r="KX20" s="683">
        <v>1.6626666699999999</v>
      </c>
      <c r="KY20" s="794">
        <f t="shared" si="46"/>
        <v>279646.28016364365</v>
      </c>
      <c r="KZ20" s="683">
        <v>1.6626666699999999</v>
      </c>
      <c r="LA20" s="794">
        <f t="shared" si="47"/>
        <v>809416.48513838742</v>
      </c>
      <c r="LB20" s="650">
        <f t="shared" si="48"/>
        <v>6882667.2988150679</v>
      </c>
      <c r="LC20" s="650">
        <f t="shared" si="79"/>
        <v>7091679.8943037298</v>
      </c>
      <c r="LD20" s="16"/>
      <c r="LE20" s="220"/>
      <c r="LF20" s="12"/>
      <c r="LG20" s="192">
        <v>15</v>
      </c>
      <c r="LH20" s="921">
        <v>15</v>
      </c>
      <c r="LI20" s="860">
        <f t="shared" si="12"/>
        <v>7527328.5001999997</v>
      </c>
      <c r="LJ20" s="860">
        <f t="shared" si="12"/>
        <v>8899128.47304051</v>
      </c>
      <c r="LK20" s="801">
        <f t="shared" si="13"/>
        <v>8058228.0812341245</v>
      </c>
      <c r="LL20" s="860">
        <f t="shared" si="14"/>
        <v>7260925.6443316713</v>
      </c>
      <c r="LM20" s="860">
        <f t="shared" si="14"/>
        <v>7333143.6794060785</v>
      </c>
      <c r="LN20" s="801">
        <f t="shared" si="49"/>
        <v>7657120.8513279418</v>
      </c>
      <c r="LO20" s="860">
        <f t="shared" si="50"/>
        <v>266402.85586832836</v>
      </c>
      <c r="LP20" s="860">
        <f t="shared" si="50"/>
        <v>1565984.7936344314</v>
      </c>
      <c r="LQ20" s="860">
        <f t="shared" si="50"/>
        <v>401107.22990618274</v>
      </c>
      <c r="LR20" s="12"/>
      <c r="LS20" s="13"/>
      <c r="LT20" s="12"/>
      <c r="LU20" s="12"/>
      <c r="LV20" s="12"/>
      <c r="LW20" s="12"/>
      <c r="LX20" s="12"/>
      <c r="LY20" s="13"/>
      <c r="LZ20" s="12"/>
      <c r="MA20" s="293">
        <f t="shared" si="80"/>
        <v>14</v>
      </c>
      <c r="MB20" s="816" t="s">
        <v>53</v>
      </c>
      <c r="MC20" s="929">
        <f t="shared" si="102"/>
        <v>13172195.101401502</v>
      </c>
      <c r="MD20" s="930">
        <f t="shared" si="103"/>
        <v>0.60022299213736274</v>
      </c>
      <c r="ME20" s="839"/>
      <c r="MF20" s="931">
        <f t="shared" si="104"/>
        <v>13172195.101401502</v>
      </c>
      <c r="MG20" s="930">
        <f t="shared" si="105"/>
        <v>0.60022299213736274</v>
      </c>
      <c r="MH20" s="12"/>
      <c r="MI20" s="13"/>
      <c r="MJ20" s="12"/>
      <c r="MK20" s="293">
        <f t="shared" si="81"/>
        <v>14</v>
      </c>
      <c r="ML20" s="272" t="str">
        <f t="shared" si="53"/>
        <v>Overhead</v>
      </c>
      <c r="MM20" s="980">
        <v>10556442.680443538</v>
      </c>
      <c r="MN20" s="929">
        <f t="shared" si="106"/>
        <v>13172195.101401502</v>
      </c>
      <c r="MO20" s="929">
        <f t="shared" si="70"/>
        <v>2615752.4209579639</v>
      </c>
      <c r="MP20" s="940">
        <f t="shared" si="71"/>
        <v>0.24778729920106579</v>
      </c>
      <c r="MQ20" s="12"/>
      <c r="MR20" s="13"/>
      <c r="MS20" s="12"/>
    </row>
    <row r="21" spans="1:357" ht="17.25" thickBot="1" x14ac:dyDescent="0.35">
      <c r="A21" s="5"/>
      <c r="B21" s="143">
        <f t="shared" si="72"/>
        <v>16</v>
      </c>
      <c r="C21" s="307" t="s">
        <v>222</v>
      </c>
      <c r="D21" s="307"/>
      <c r="E21" s="308"/>
      <c r="F21" s="322">
        <f>SUM(F14:F20)</f>
        <v>104216563.686424</v>
      </c>
      <c r="G21" s="323">
        <f t="shared" si="97"/>
        <v>5.0090290502861157</v>
      </c>
      <c r="H21" s="322">
        <f>SUM(H14:H20)</f>
        <v>101285634.88093203</v>
      </c>
      <c r="I21" s="324">
        <f t="shared" si="98"/>
        <v>4.842656310960507</v>
      </c>
      <c r="J21" s="325">
        <f t="shared" si="54"/>
        <v>-2930928.805491969</v>
      </c>
      <c r="K21" s="322">
        <f>SUM(K14:K20)</f>
        <v>106424488.89034145</v>
      </c>
      <c r="L21" s="324">
        <f t="shared" si="99"/>
        <v>4.8505484401808046</v>
      </c>
      <c r="M21" s="325">
        <f t="shared" si="55"/>
        <v>5138854.0094094127</v>
      </c>
      <c r="N21" s="322">
        <f>SUM(N14:N20)</f>
        <v>109897152.51796167</v>
      </c>
      <c r="O21" s="324">
        <f t="shared" si="100"/>
        <v>5.0077300862852168</v>
      </c>
      <c r="P21" s="325">
        <f t="shared" si="56"/>
        <v>3472663.6276202202</v>
      </c>
      <c r="Q21" s="322">
        <f t="shared" si="57"/>
        <v>5680588.8315376639</v>
      </c>
      <c r="R21" s="326">
        <f t="shared" si="58"/>
        <v>-2.5932450937271589E-4</v>
      </c>
      <c r="V21" s="185"/>
      <c r="W21" s="186" t="s">
        <v>27</v>
      </c>
      <c r="X21" s="269"/>
      <c r="Y21" s="270"/>
      <c r="Z21" s="270"/>
      <c r="AA21" s="270"/>
      <c r="AB21" s="189"/>
      <c r="AC21" s="236"/>
      <c r="AF21" s="327">
        <f t="shared" si="73"/>
        <v>15</v>
      </c>
      <c r="AG21" s="819" t="s">
        <v>187</v>
      </c>
      <c r="AH21" s="820">
        <f>KM27/AH19</f>
        <v>21.590915581797397</v>
      </c>
      <c r="AI21" s="820">
        <f>KO27/AI19</f>
        <v>21.624578811329847</v>
      </c>
      <c r="AJ21" s="820">
        <f>KQ27/AJ19</f>
        <v>32.768848092605424</v>
      </c>
      <c r="AL21" s="299"/>
      <c r="AN21" s="1055" t="s">
        <v>223</v>
      </c>
      <c r="AO21" s="1055"/>
      <c r="AP21" s="1055"/>
      <c r="AQ21" s="1055"/>
      <c r="AR21" s="1055"/>
      <c r="AS21" s="1055"/>
      <c r="AT21" s="1055"/>
      <c r="AU21" s="1055"/>
      <c r="AV21" s="1055"/>
      <c r="AW21" s="1055"/>
      <c r="AX21" s="1055"/>
      <c r="AY21" s="1055"/>
      <c r="AZ21" s="1055"/>
      <c r="BA21" s="1055"/>
      <c r="BB21" s="1055"/>
      <c r="BC21" s="1055"/>
      <c r="BD21" s="1055"/>
      <c r="BE21" s="1055"/>
      <c r="BF21" s="1055"/>
      <c r="BG21" s="1055"/>
      <c r="BH21" s="1055"/>
      <c r="BI21" s="1055"/>
      <c r="BJ21" s="1055"/>
      <c r="BK21" s="1055"/>
      <c r="BL21" s="1055"/>
      <c r="BM21" s="1055"/>
      <c r="BN21" s="1055"/>
      <c r="BO21" s="1055"/>
      <c r="BP21" s="1055"/>
      <c r="BQ21" s="1055"/>
      <c r="BR21" s="1055"/>
      <c r="BS21" s="1055"/>
      <c r="BT21" s="1056"/>
      <c r="BU21" s="1056"/>
      <c r="BV21" s="1056"/>
      <c r="BW21" s="1056"/>
      <c r="BX21" s="1056"/>
      <c r="BY21" s="1056"/>
      <c r="BZ21" s="1056"/>
      <c r="CA21" s="1056"/>
      <c r="CB21" s="1056"/>
      <c r="CC21" s="1056"/>
      <c r="CD21" s="1056"/>
      <c r="CE21" s="1056"/>
      <c r="CF21" s="1056"/>
      <c r="CG21" s="1056"/>
      <c r="CH21" s="1056"/>
      <c r="CI21" s="1055"/>
      <c r="CJ21" s="1055"/>
      <c r="DA21" s="287"/>
      <c r="DD21" s="12"/>
      <c r="DU21" s="12"/>
      <c r="DV21" s="12"/>
      <c r="DW21" s="12"/>
      <c r="DX21" s="12"/>
      <c r="DY21" s="12"/>
      <c r="ER21" s="266"/>
      <c r="FH21" s="266"/>
      <c r="FJ21" s="222">
        <f t="shared" si="78"/>
        <v>16</v>
      </c>
      <c r="FK21" s="15" t="s">
        <v>224</v>
      </c>
      <c r="FL21" s="308"/>
      <c r="FM21" s="329"/>
      <c r="FN21" s="329"/>
      <c r="FO21" s="329"/>
      <c r="FP21" s="330"/>
      <c r="FQ21" s="329"/>
      <c r="FR21" s="329"/>
      <c r="FS21" s="329"/>
      <c r="FT21" s="329"/>
      <c r="FU21" s="329"/>
      <c r="FV21" s="16"/>
      <c r="FW21" s="266"/>
      <c r="GZ21" s="222">
        <v>16</v>
      </c>
      <c r="HA21" s="663">
        <v>16</v>
      </c>
      <c r="HB21" s="663">
        <v>10</v>
      </c>
      <c r="HC21" s="663">
        <v>10</v>
      </c>
      <c r="HD21" s="682">
        <v>161434968</v>
      </c>
      <c r="HE21" s="682">
        <v>163801024</v>
      </c>
      <c r="HF21" s="724">
        <f t="shared" si="22"/>
        <v>1</v>
      </c>
      <c r="HG21" s="724">
        <f t="shared" si="23"/>
        <v>1.0146564033140577</v>
      </c>
      <c r="HH21" s="723">
        <v>0</v>
      </c>
      <c r="HI21" s="723">
        <v>0.5</v>
      </c>
      <c r="HJ21" s="723">
        <v>0.5</v>
      </c>
      <c r="HN21" s="243">
        <v>16</v>
      </c>
      <c r="HO21" s="891">
        <v>16</v>
      </c>
      <c r="HP21" s="793">
        <f t="shared" si="2"/>
        <v>1.0146564033140577</v>
      </c>
      <c r="HQ21" s="650">
        <v>39583.630000000005</v>
      </c>
      <c r="HR21" s="794">
        <f t="shared" si="24"/>
        <v>40163.783645914438</v>
      </c>
      <c r="HS21" s="650">
        <v>17950787</v>
      </c>
      <c r="HT21" s="975">
        <v>18206967</v>
      </c>
      <c r="HU21" s="650">
        <v>8597440.1903000008</v>
      </c>
      <c r="HV21" s="975">
        <v>9402320</v>
      </c>
      <c r="HW21" s="650">
        <v>225000</v>
      </c>
      <c r="HX21" s="955">
        <v>225000</v>
      </c>
      <c r="HY21" s="650">
        <f t="shared" si="25"/>
        <v>8862023.8203000017</v>
      </c>
      <c r="HZ21" s="650">
        <f t="shared" si="25"/>
        <v>9667483.7836459149</v>
      </c>
      <c r="IA21" s="206"/>
      <c r="IB21" s="207"/>
      <c r="IC21" s="206"/>
      <c r="ID21" s="244">
        <v>16</v>
      </c>
      <c r="IE21" s="891">
        <v>16</v>
      </c>
      <c r="IF21" s="899">
        <f t="shared" si="3"/>
        <v>1</v>
      </c>
      <c r="IG21" s="900">
        <f t="shared" si="3"/>
        <v>1.0146564033140577</v>
      </c>
      <c r="IH21" s="955">
        <v>2733563.4377292385</v>
      </c>
      <c r="II21" s="794">
        <f t="shared" si="64"/>
        <v>2773627.6459571603</v>
      </c>
      <c r="IJ21" s="955">
        <v>60011.618999999992</v>
      </c>
      <c r="IK21" s="794">
        <f t="shared" si="26"/>
        <v>60891.173491593559</v>
      </c>
      <c r="IL21" s="955">
        <v>1492298.6492707615</v>
      </c>
      <c r="IM21" s="794">
        <f t="shared" si="82"/>
        <v>1492298.6492707615</v>
      </c>
      <c r="IN21" s="955">
        <v>1885780.2045426611</v>
      </c>
      <c r="IO21" s="995">
        <v>1885780.2045426611</v>
      </c>
      <c r="IP21" s="955">
        <v>135685.57333333336</v>
      </c>
      <c r="IQ21" s="794">
        <f t="shared" si="27"/>
        <v>137674.23582000585</v>
      </c>
      <c r="IR21" s="955">
        <v>52965.553333333351</v>
      </c>
      <c r="IS21" s="794">
        <f t="shared" si="28"/>
        <v>53741.837844738919</v>
      </c>
      <c r="IT21" s="955">
        <v>1053043.42</v>
      </c>
      <c r="IU21" s="794">
        <f t="shared" si="29"/>
        <v>1068477.2490707345</v>
      </c>
      <c r="IV21" s="955">
        <v>917174.10305000003</v>
      </c>
      <c r="IW21" s="794">
        <f t="shared" si="30"/>
        <v>930616.57661350991</v>
      </c>
      <c r="IX21" s="650">
        <f t="shared" si="31"/>
        <v>8330522.5602593282</v>
      </c>
      <c r="IY21" s="650">
        <f t="shared" si="31"/>
        <v>8403107.5726111662</v>
      </c>
      <c r="IZ21" s="683">
        <f t="shared" si="4"/>
        <v>5.1300702324126899</v>
      </c>
      <c r="JD21" s="222">
        <v>16</v>
      </c>
      <c r="JE21" s="663">
        <v>16</v>
      </c>
      <c r="JF21" s="660">
        <f t="shared" si="5"/>
        <v>10</v>
      </c>
      <c r="JG21" s="729">
        <f>JF21</f>
        <v>10</v>
      </c>
      <c r="JH21" s="905">
        <f t="shared" si="6"/>
        <v>163801024</v>
      </c>
      <c r="JI21" s="905">
        <f t="shared" si="83"/>
        <v>163836783.26157582</v>
      </c>
      <c r="JJ21" s="906">
        <f t="shared" si="33"/>
        <v>1</v>
      </c>
      <c r="JK21" s="906">
        <f t="shared" si="34"/>
        <v>1.0002183091454655</v>
      </c>
      <c r="JL21" s="906">
        <f t="shared" si="35"/>
        <v>1.0303670549867481</v>
      </c>
      <c r="JM21" s="663" t="s">
        <v>238</v>
      </c>
      <c r="JN21" s="209"/>
      <c r="JO21" s="210"/>
      <c r="JP21" s="209"/>
      <c r="JQ21" s="222">
        <v>16</v>
      </c>
      <c r="JR21" s="663">
        <v>16</v>
      </c>
      <c r="JS21" s="914" t="str">
        <f t="shared" si="7"/>
        <v>Q3</v>
      </c>
      <c r="JT21" s="913">
        <f t="shared" si="8"/>
        <v>1.0303670549867481</v>
      </c>
      <c r="JU21" s="671">
        <f t="shared" si="36"/>
        <v>40163.783645914438</v>
      </c>
      <c r="JV21" s="671">
        <f t="shared" si="37"/>
        <v>41383.439472365775</v>
      </c>
      <c r="JW21" s="671">
        <f t="shared" si="9"/>
        <v>18206967</v>
      </c>
      <c r="JX21" s="671">
        <f t="shared" si="38"/>
        <v>18079049.66625559</v>
      </c>
      <c r="JY21" s="671">
        <f t="shared" si="10"/>
        <v>9402320</v>
      </c>
      <c r="JZ21" s="671">
        <f t="shared" si="11"/>
        <v>8114643.4075503219</v>
      </c>
      <c r="KA21" s="671">
        <f t="shared" si="39"/>
        <v>225000</v>
      </c>
      <c r="KB21" s="671">
        <f t="shared" si="40"/>
        <v>354587.00182138442</v>
      </c>
      <c r="KC21" s="671">
        <f t="shared" si="41"/>
        <v>9667483.7836459149</v>
      </c>
      <c r="KD21" s="671">
        <f t="shared" si="41"/>
        <v>8510613.8488440719</v>
      </c>
      <c r="KE21" s="211"/>
      <c r="KF21" s="210"/>
      <c r="KG21" s="209"/>
      <c r="KH21" s="245">
        <f t="shared" si="65"/>
        <v>16</v>
      </c>
      <c r="KI21" s="917">
        <v>15</v>
      </c>
      <c r="KJ21" s="918">
        <f t="shared" si="66"/>
        <v>1</v>
      </c>
      <c r="KK21" s="918">
        <f t="shared" si="66"/>
        <v>1.0002183091454655</v>
      </c>
      <c r="KL21" s="898">
        <v>1.6406666700000001</v>
      </c>
      <c r="KM21" s="801">
        <f t="shared" si="67"/>
        <v>3122215.050567172</v>
      </c>
      <c r="KN21" s="898">
        <v>1.6406666700000001</v>
      </c>
      <c r="KO21" s="801">
        <f t="shared" si="42"/>
        <v>174694.73455261381</v>
      </c>
      <c r="KP21" s="898">
        <v>1.6406666700000001</v>
      </c>
      <c r="KQ21" s="801">
        <f t="shared" si="43"/>
        <v>1294336.8016079334</v>
      </c>
      <c r="KR21" s="898">
        <v>1.6406666700000001</v>
      </c>
      <c r="KS21" s="801">
        <f t="shared" si="68"/>
        <v>1903977.5623253663</v>
      </c>
      <c r="KT21" s="898">
        <v>1.6406666700000001</v>
      </c>
      <c r="KU21" s="801">
        <f t="shared" si="44"/>
        <v>157491.68568248942</v>
      </c>
      <c r="KV21" s="898">
        <v>1.6406666700000001</v>
      </c>
      <c r="KW21" s="801">
        <f t="shared" si="45"/>
        <v>65667.27569311636</v>
      </c>
      <c r="KX21" s="898">
        <v>1.6406666700000001</v>
      </c>
      <c r="KY21" s="801">
        <f t="shared" si="46"/>
        <v>327813.37759953749</v>
      </c>
      <c r="KZ21" s="898">
        <v>1.6406666700000001</v>
      </c>
      <c r="LA21" s="919">
        <f t="shared" si="47"/>
        <v>610924.36329971231</v>
      </c>
      <c r="LB21" s="646">
        <f t="shared" si="48"/>
        <v>7333143.6794060785</v>
      </c>
      <c r="LC21" s="646">
        <f t="shared" si="79"/>
        <v>7657120.8513279418</v>
      </c>
      <c r="LD21" s="16"/>
      <c r="LE21" s="220"/>
      <c r="LG21" s="222">
        <v>16</v>
      </c>
      <c r="LH21" s="922">
        <v>16</v>
      </c>
      <c r="LI21" s="650">
        <f t="shared" si="12"/>
        <v>8862023.8203000017</v>
      </c>
      <c r="LJ21" s="650">
        <f t="shared" si="12"/>
        <v>9667483.7836459149</v>
      </c>
      <c r="LK21" s="794">
        <f t="shared" si="13"/>
        <v>8510613.8488440719</v>
      </c>
      <c r="LL21" s="650">
        <f t="shared" si="14"/>
        <v>8330522.5602593282</v>
      </c>
      <c r="LM21" s="650">
        <f t="shared" si="14"/>
        <v>8403107.5726111662</v>
      </c>
      <c r="LN21" s="794">
        <f t="shared" si="49"/>
        <v>8658285.2023282088</v>
      </c>
      <c r="LO21" s="650">
        <f t="shared" si="50"/>
        <v>531501.26004067343</v>
      </c>
      <c r="LP21" s="650">
        <f t="shared" si="50"/>
        <v>1264376.2110347487</v>
      </c>
      <c r="LQ21" s="650">
        <f t="shared" si="50"/>
        <v>-147671.35348413698</v>
      </c>
      <c r="MA21" s="192">
        <f t="shared" si="80"/>
        <v>15</v>
      </c>
      <c r="MB21" s="194" t="s">
        <v>59</v>
      </c>
      <c r="MC21" s="320">
        <f t="shared" si="102"/>
        <v>109897152.51796167</v>
      </c>
      <c r="MD21" s="331">
        <f t="shared" si="103"/>
        <v>5.0077300862852168</v>
      </c>
      <c r="ME21" s="194"/>
      <c r="MF21" s="332">
        <f>SUM(MF14:MF20)</f>
        <v>109897152.51796167</v>
      </c>
      <c r="MG21" s="331">
        <f t="shared" si="105"/>
        <v>5.0077300862852168</v>
      </c>
      <c r="MK21" s="192">
        <f t="shared" si="81"/>
        <v>15</v>
      </c>
      <c r="ML21" s="194" t="str">
        <f t="shared" si="53"/>
        <v>Total Operating Expenses</v>
      </c>
      <c r="MM21" s="981">
        <v>93608877.605802789</v>
      </c>
      <c r="MN21" s="333">
        <f t="shared" si="106"/>
        <v>109897152.51796167</v>
      </c>
      <c r="MO21" s="333">
        <f t="shared" si="70"/>
        <v>16288274.912158877</v>
      </c>
      <c r="MP21" s="945">
        <f t="shared" si="71"/>
        <v>0.17400352753667853</v>
      </c>
    </row>
    <row r="22" spans="1:357" s="29" customFormat="1" ht="16.5" x14ac:dyDescent="0.3">
      <c r="A22" s="7"/>
      <c r="B22" s="181">
        <f t="shared" si="72"/>
        <v>17</v>
      </c>
      <c r="C22" s="194" t="s">
        <v>220</v>
      </c>
      <c r="D22" s="194"/>
      <c r="E22" s="199"/>
      <c r="F22" s="332">
        <f>F12-F21</f>
        <v>7158976.8429704905</v>
      </c>
      <c r="G22" s="334">
        <f t="shared" si="97"/>
        <v>0.3440865991769031</v>
      </c>
      <c r="H22" s="332">
        <f>H12-H21</f>
        <v>5069183.3865407258</v>
      </c>
      <c r="I22" s="335">
        <f t="shared" si="98"/>
        <v>0.24236717227577007</v>
      </c>
      <c r="J22" s="321">
        <f t="shared" si="54"/>
        <v>-2089793.4564297646</v>
      </c>
      <c r="K22" s="332">
        <f>K12-K21</f>
        <v>22581473.325630128</v>
      </c>
      <c r="L22" s="335">
        <f t="shared" si="99"/>
        <v>1.0292041931202573</v>
      </c>
      <c r="M22" s="321">
        <f t="shared" si="55"/>
        <v>17512289.939089403</v>
      </c>
      <c r="N22" s="332">
        <f>N12-N21</f>
        <v>3881384.3777855486</v>
      </c>
      <c r="O22" s="335">
        <f t="shared" si="100"/>
        <v>0.17686468556951312</v>
      </c>
      <c r="P22" s="321">
        <f t="shared" si="56"/>
        <v>-18700088.94784458</v>
      </c>
      <c r="Q22" s="332">
        <f t="shared" si="57"/>
        <v>-3277592.4651849419</v>
      </c>
      <c r="R22" s="336">
        <f t="shared" si="58"/>
        <v>-0.48598787051691372</v>
      </c>
      <c r="S22" s="12"/>
      <c r="T22" s="13"/>
      <c r="U22" s="12"/>
      <c r="V22" s="337">
        <v>11</v>
      </c>
      <c r="W22" s="809" t="s">
        <v>225</v>
      </c>
      <c r="X22" s="650">
        <f>X18-X7</f>
        <v>-3901097.3440236663</v>
      </c>
      <c r="Y22" s="650">
        <f>Y18-Y7</f>
        <v>-2369752.6633467665</v>
      </c>
      <c r="Z22" s="650">
        <f>Z18-Z7</f>
        <v>2993257.2721854597</v>
      </c>
      <c r="AA22" s="650">
        <f>AA18-AA7</f>
        <v>-3277592.7351849731</v>
      </c>
      <c r="AB22" s="230"/>
      <c r="AC22" s="12"/>
      <c r="AD22" s="13"/>
      <c r="AE22" s="12"/>
      <c r="AF22" s="12"/>
      <c r="AG22" s="12"/>
      <c r="AH22" s="12"/>
      <c r="AI22" s="12"/>
      <c r="AJ22" s="12"/>
      <c r="AK22" s="12"/>
      <c r="AL22" s="299"/>
      <c r="AM22" s="12"/>
      <c r="AN22" s="222">
        <v>18</v>
      </c>
      <c r="AO22" s="2"/>
      <c r="AP22" s="317" t="s">
        <v>226</v>
      </c>
      <c r="AQ22" s="5"/>
      <c r="AR22" s="240"/>
      <c r="AS22" s="338"/>
      <c r="AT22" s="234">
        <v>1025480397</v>
      </c>
      <c r="AU22" s="236"/>
      <c r="AV22" s="338"/>
      <c r="AW22" s="234">
        <v>1079178438.6666701</v>
      </c>
      <c r="AX22" s="236"/>
      <c r="AY22" s="235"/>
      <c r="AZ22" s="338"/>
      <c r="BA22" s="234">
        <v>1290136807.9999998</v>
      </c>
      <c r="BB22" s="236"/>
      <c r="BC22" s="235"/>
      <c r="BD22" s="338"/>
      <c r="BE22" s="234">
        <v>1470610844</v>
      </c>
      <c r="BF22" s="236"/>
      <c r="BG22" s="235"/>
      <c r="BH22" s="338"/>
      <c r="BI22" s="234">
        <v>1519641411.6666667</v>
      </c>
      <c r="BJ22" s="236"/>
      <c r="BK22" s="235"/>
      <c r="BL22" s="338"/>
      <c r="BM22" s="234">
        <v>1682130877</v>
      </c>
      <c r="BN22" s="236"/>
      <c r="BO22" s="235"/>
      <c r="BP22" s="338"/>
      <c r="BQ22" s="234">
        <v>1854790824</v>
      </c>
      <c r="BR22" s="236"/>
      <c r="BS22" s="235"/>
      <c r="BT22" s="1057">
        <v>1962055288</v>
      </c>
      <c r="BU22" s="1057"/>
      <c r="BV22" s="1057"/>
      <c r="BW22" s="339"/>
      <c r="BX22" s="12"/>
      <c r="BY22" s="12"/>
      <c r="BZ22" s="340"/>
      <c r="CA22" s="240"/>
      <c r="CB22" s="12"/>
      <c r="CC22" s="959">
        <v>2078388796</v>
      </c>
      <c r="CD22" s="824"/>
      <c r="CE22" s="723"/>
      <c r="CF22" s="853">
        <f>F24</f>
        <v>2080574152</v>
      </c>
      <c r="CG22" s="824"/>
      <c r="CH22" s="723"/>
      <c r="CI22" s="854">
        <f>CF22/AT22-1</f>
        <v>1.0288775466470472</v>
      </c>
      <c r="CJ22" s="723">
        <f>(CI22+1)^(1/(2022-2004))-1</f>
        <v>4.0087240631794696E-2</v>
      </c>
      <c r="CK22" s="12"/>
      <c r="CL22" s="13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3"/>
      <c r="CZ22" s="12"/>
      <c r="DA22" s="12"/>
      <c r="DB22" s="12"/>
      <c r="DC22" s="12"/>
      <c r="DD22" s="12"/>
      <c r="DE22" s="12"/>
      <c r="DF22" s="12"/>
      <c r="DG22" s="16"/>
      <c r="DH22" s="12"/>
      <c r="DI22" s="13"/>
      <c r="DJ22" s="12"/>
      <c r="DK22" s="12"/>
      <c r="DL22" s="12"/>
      <c r="DM22" s="12"/>
      <c r="DN22" s="16"/>
      <c r="DO22" s="12"/>
      <c r="DP22" s="12"/>
      <c r="DQ22" s="12"/>
      <c r="DR22" s="13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3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20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20"/>
      <c r="FI22" s="12"/>
      <c r="FJ22" s="192">
        <f>FJ21+1</f>
        <v>17</v>
      </c>
      <c r="FK22" s="310"/>
      <c r="FL22" s="879" t="s">
        <v>227</v>
      </c>
      <c r="FM22" s="880">
        <v>19302.772499999999</v>
      </c>
      <c r="FN22" s="880">
        <v>12055</v>
      </c>
      <c r="FO22" s="880">
        <v>17639.830000000002</v>
      </c>
      <c r="FP22" s="881">
        <f>FM22+FO22+FN22</f>
        <v>48997.602500000001</v>
      </c>
      <c r="FQ22" s="880">
        <v>0</v>
      </c>
      <c r="FR22" s="880">
        <v>0</v>
      </c>
      <c r="FS22" s="880">
        <v>0</v>
      </c>
      <c r="FT22" s="880">
        <v>0</v>
      </c>
      <c r="FU22" s="955">
        <v>0</v>
      </c>
      <c r="FV22" s="730"/>
      <c r="FW22" s="266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3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3"/>
      <c r="GX22" s="12"/>
      <c r="GY22" s="12"/>
      <c r="GZ22" s="192">
        <v>17</v>
      </c>
      <c r="HA22" s="886">
        <v>17</v>
      </c>
      <c r="HB22" s="886">
        <v>10</v>
      </c>
      <c r="HC22" s="886">
        <v>10</v>
      </c>
      <c r="HD22" s="887">
        <v>184309270</v>
      </c>
      <c r="HE22" s="887">
        <v>185961720</v>
      </c>
      <c r="HF22" s="800">
        <f t="shared" si="22"/>
        <v>1</v>
      </c>
      <c r="HG22" s="800">
        <f t="shared" si="23"/>
        <v>1.0089656369427322</v>
      </c>
      <c r="HH22" s="802">
        <v>0</v>
      </c>
      <c r="HI22" s="802">
        <v>0.2</v>
      </c>
      <c r="HJ22" s="802">
        <v>0.8</v>
      </c>
      <c r="HK22" s="12"/>
      <c r="HL22" s="13"/>
      <c r="HM22" s="12"/>
      <c r="HN22" s="267">
        <v>17</v>
      </c>
      <c r="HO22" s="892">
        <v>17</v>
      </c>
      <c r="HP22" s="799">
        <f t="shared" si="2"/>
        <v>1.0089656369427322</v>
      </c>
      <c r="HQ22" s="860">
        <v>14135.02</v>
      </c>
      <c r="HR22" s="801">
        <f t="shared" si="24"/>
        <v>14261.749457498259</v>
      </c>
      <c r="HS22" s="860">
        <v>20326618</v>
      </c>
      <c r="HT22" s="975">
        <v>20549740</v>
      </c>
      <c r="HU22" s="860">
        <v>9521341.6389999986</v>
      </c>
      <c r="HV22" s="975">
        <v>10477708</v>
      </c>
      <c r="HW22" s="860">
        <v>225000</v>
      </c>
      <c r="HX22" s="955">
        <v>225000</v>
      </c>
      <c r="HY22" s="860">
        <f t="shared" si="25"/>
        <v>9760476.6589999981</v>
      </c>
      <c r="HZ22" s="860">
        <f t="shared" si="25"/>
        <v>10716969.749457499</v>
      </c>
      <c r="IA22" s="206"/>
      <c r="IB22" s="207"/>
      <c r="IC22" s="206"/>
      <c r="ID22" s="208">
        <v>17</v>
      </c>
      <c r="IE22" s="892">
        <v>17</v>
      </c>
      <c r="IF22" s="896">
        <f t="shared" si="3"/>
        <v>1</v>
      </c>
      <c r="IG22" s="897">
        <f t="shared" si="3"/>
        <v>1.0089656369427322</v>
      </c>
      <c r="IH22" s="955">
        <v>3423698.7888018978</v>
      </c>
      <c r="II22" s="801">
        <f t="shared" si="64"/>
        <v>3454394.4291435676</v>
      </c>
      <c r="IJ22" s="955">
        <v>303676.66150000005</v>
      </c>
      <c r="IK22" s="801">
        <f t="shared" si="26"/>
        <v>306399.31619499001</v>
      </c>
      <c r="IL22" s="955">
        <v>1525701.0546981017</v>
      </c>
      <c r="IM22" s="801">
        <f t="shared" si="82"/>
        <v>1525701.0546981017</v>
      </c>
      <c r="IN22" s="955">
        <v>2001256.6207513765</v>
      </c>
      <c r="IO22" s="995">
        <v>2001256.6207513765</v>
      </c>
      <c r="IP22" s="955">
        <v>90945.126999999993</v>
      </c>
      <c r="IQ22" s="801">
        <f t="shared" si="27"/>
        <v>91760.507990392667</v>
      </c>
      <c r="IR22" s="955">
        <v>81740.587999999974</v>
      </c>
      <c r="IS22" s="801">
        <f t="shared" si="28"/>
        <v>82473.444435493424</v>
      </c>
      <c r="IT22" s="955">
        <v>532527.18400000012</v>
      </c>
      <c r="IU22" s="801">
        <f t="shared" si="29"/>
        <v>537301.62939387967</v>
      </c>
      <c r="IV22" s="955">
        <v>902633.89910000004</v>
      </c>
      <c r="IW22" s="801">
        <f t="shared" si="30"/>
        <v>910726.58693153341</v>
      </c>
      <c r="IX22" s="860">
        <f t="shared" si="31"/>
        <v>8862179.9238513745</v>
      </c>
      <c r="IY22" s="860">
        <f t="shared" si="31"/>
        <v>8910013.589539336</v>
      </c>
      <c r="IZ22" s="898">
        <f t="shared" si="4"/>
        <v>4.7913159705875685</v>
      </c>
      <c r="JA22" s="12"/>
      <c r="JB22" s="13"/>
      <c r="JC22" s="12"/>
      <c r="JD22" s="192">
        <v>17</v>
      </c>
      <c r="JE22" s="886">
        <v>17</v>
      </c>
      <c r="JF22" s="796">
        <f t="shared" si="5"/>
        <v>10</v>
      </c>
      <c r="JG22" s="804">
        <f t="shared" ref="JG22:JG25" si="111">JF22</f>
        <v>10</v>
      </c>
      <c r="JH22" s="859">
        <f t="shared" si="6"/>
        <v>185961720</v>
      </c>
      <c r="JI22" s="859">
        <f t="shared" si="83"/>
        <v>186002317.1441825</v>
      </c>
      <c r="JJ22" s="904">
        <f t="shared" si="33"/>
        <v>1</v>
      </c>
      <c r="JK22" s="904">
        <f t="shared" si="34"/>
        <v>1.0002183091454655</v>
      </c>
      <c r="JL22" s="904">
        <f t="shared" si="35"/>
        <v>1.0303684407681184</v>
      </c>
      <c r="JM22" s="886" t="s">
        <v>238</v>
      </c>
      <c r="JN22" s="209"/>
      <c r="JO22" s="210"/>
      <c r="JP22" s="209"/>
      <c r="JQ22" s="192">
        <v>17</v>
      </c>
      <c r="JR22" s="886">
        <v>17</v>
      </c>
      <c r="JS22" s="910" t="str">
        <f t="shared" si="7"/>
        <v>Q3</v>
      </c>
      <c r="JT22" s="911">
        <f t="shared" si="8"/>
        <v>1.0303684407681184</v>
      </c>
      <c r="JU22" s="860">
        <f t="shared" si="36"/>
        <v>14261.749457498259</v>
      </c>
      <c r="JV22" s="860">
        <f t="shared" si="37"/>
        <v>14694.856551148039</v>
      </c>
      <c r="JW22" s="860">
        <f t="shared" si="9"/>
        <v>20549740</v>
      </c>
      <c r="JX22" s="860">
        <f t="shared" si="38"/>
        <v>20524970.417170994</v>
      </c>
      <c r="JY22" s="860">
        <f t="shared" si="10"/>
        <v>10477708</v>
      </c>
      <c r="JZ22" s="860">
        <f t="shared" si="11"/>
        <v>9212476.2617767211</v>
      </c>
      <c r="KA22" s="860">
        <f t="shared" si="39"/>
        <v>225000</v>
      </c>
      <c r="KB22" s="860">
        <f t="shared" si="40"/>
        <v>402559.19736098708</v>
      </c>
      <c r="KC22" s="860">
        <f t="shared" si="41"/>
        <v>10716969.749457499</v>
      </c>
      <c r="KD22" s="860">
        <f t="shared" si="41"/>
        <v>9629730.3156888559</v>
      </c>
      <c r="KE22" s="211"/>
      <c r="KF22" s="210"/>
      <c r="KG22" s="209"/>
      <c r="KH22" s="243">
        <f t="shared" si="65"/>
        <v>17</v>
      </c>
      <c r="KI22" s="891">
        <v>16</v>
      </c>
      <c r="KJ22" s="920">
        <f t="shared" si="66"/>
        <v>1</v>
      </c>
      <c r="KK22" s="920">
        <f t="shared" si="66"/>
        <v>1.0002183091454655</v>
      </c>
      <c r="KL22" s="683">
        <v>1.6626666699999999</v>
      </c>
      <c r="KM22" s="794">
        <f t="shared" si="67"/>
        <v>2858105.324760193</v>
      </c>
      <c r="KN22" s="683">
        <v>1.6626666699999999</v>
      </c>
      <c r="KO22" s="794">
        <f t="shared" si="42"/>
        <v>62745.764537244693</v>
      </c>
      <c r="KP22" s="683">
        <v>1.6626666699999999</v>
      </c>
      <c r="KQ22" s="794">
        <f t="shared" si="43"/>
        <v>1537414.6578477176</v>
      </c>
      <c r="KR22" s="683">
        <v>1.6626666699999999</v>
      </c>
      <c r="KS22" s="794">
        <f t="shared" si="68"/>
        <v>1942792.1678812166</v>
      </c>
      <c r="KT22" s="683">
        <v>1.6626666699999999</v>
      </c>
      <c r="KU22" s="794">
        <f t="shared" si="44"/>
        <v>141867.44462725433</v>
      </c>
      <c r="KV22" s="683">
        <v>1.6626666699999999</v>
      </c>
      <c r="KW22" s="794">
        <f t="shared" si="45"/>
        <v>55378.67821959962</v>
      </c>
      <c r="KX22" s="683">
        <v>1.6626666699999999</v>
      </c>
      <c r="KY22" s="794">
        <f t="shared" si="46"/>
        <v>1101020.3620538027</v>
      </c>
      <c r="KZ22" s="683">
        <v>1.6626666699999999</v>
      </c>
      <c r="LA22" s="794">
        <f t="shared" si="47"/>
        <v>958960.80240118003</v>
      </c>
      <c r="LB22" s="650">
        <f t="shared" si="48"/>
        <v>8403107.5726111662</v>
      </c>
      <c r="LC22" s="650">
        <f t="shared" si="79"/>
        <v>8658285.2023282088</v>
      </c>
      <c r="LD22" s="16"/>
      <c r="LE22" s="220"/>
      <c r="LF22" s="12"/>
      <c r="LG22" s="192">
        <v>17</v>
      </c>
      <c r="LH22" s="921">
        <v>17</v>
      </c>
      <c r="LI22" s="860">
        <f t="shared" si="12"/>
        <v>9760476.6589999981</v>
      </c>
      <c r="LJ22" s="860">
        <f t="shared" si="12"/>
        <v>10716969.749457499</v>
      </c>
      <c r="LK22" s="801">
        <f t="shared" si="13"/>
        <v>9629730.3156888559</v>
      </c>
      <c r="LL22" s="860">
        <f t="shared" si="14"/>
        <v>8862179.9238513745</v>
      </c>
      <c r="LM22" s="860">
        <f t="shared" si="14"/>
        <v>8910013.589539336</v>
      </c>
      <c r="LN22" s="801">
        <f t="shared" si="49"/>
        <v>9180596.8094763923</v>
      </c>
      <c r="LO22" s="860">
        <f t="shared" si="50"/>
        <v>898296.73514862359</v>
      </c>
      <c r="LP22" s="860">
        <f t="shared" si="50"/>
        <v>1806956.159918163</v>
      </c>
      <c r="LQ22" s="860">
        <f t="shared" si="50"/>
        <v>449133.5062124636</v>
      </c>
      <c r="LR22" s="12"/>
      <c r="LS22" s="13"/>
      <c r="LT22" s="12"/>
      <c r="LU22" s="12"/>
      <c r="LV22" s="12"/>
      <c r="LW22" s="12"/>
      <c r="LX22" s="12"/>
      <c r="LY22" s="13"/>
      <c r="LZ22" s="12"/>
      <c r="MA22" s="222">
        <f t="shared" si="80"/>
        <v>16</v>
      </c>
      <c r="MB22" s="18"/>
      <c r="MC22" s="230"/>
      <c r="MD22" s="268"/>
      <c r="ME22" s="12"/>
      <c r="MF22" s="225"/>
      <c r="MG22" s="268"/>
      <c r="MH22" s="12"/>
      <c r="MI22" s="13"/>
      <c r="MJ22" s="12"/>
      <c r="MK22" s="222">
        <f t="shared" si="81"/>
        <v>16</v>
      </c>
      <c r="ML22" s="18"/>
      <c r="MM22" s="230"/>
      <c r="MN22" s="230"/>
      <c r="MO22" s="230"/>
      <c r="MP22" s="240"/>
      <c r="MQ22" s="12"/>
      <c r="MR22" s="13"/>
      <c r="MS22" s="12"/>
    </row>
    <row r="23" spans="1:357" ht="17.25" thickBot="1" x14ac:dyDescent="0.35">
      <c r="A23" s="5"/>
      <c r="B23" s="328" t="s">
        <v>228</v>
      </c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V23" s="342">
        <v>12</v>
      </c>
      <c r="W23" s="810" t="s">
        <v>229</v>
      </c>
      <c r="X23" s="811">
        <f>X19/X8-1</f>
        <v>-42.790308758082794</v>
      </c>
      <c r="Y23" s="811">
        <f>Y19/Y8-1</f>
        <v>-0.7471299221014075</v>
      </c>
      <c r="Z23" s="811">
        <f>Z19/Z8-1</f>
        <v>0.68693735502501685</v>
      </c>
      <c r="AA23" s="811">
        <f>AA19/AA8-1</f>
        <v>-0.4859878899028246</v>
      </c>
      <c r="AB23" s="229"/>
      <c r="AL23" s="299"/>
      <c r="AN23" s="302">
        <v>19</v>
      </c>
      <c r="AO23" s="343"/>
      <c r="AP23" s="344" t="s">
        <v>230</v>
      </c>
      <c r="AQ23" s="345"/>
      <c r="AR23" s="346"/>
      <c r="AS23" s="347"/>
      <c r="AT23" s="348">
        <v>158</v>
      </c>
      <c r="AU23" s="349"/>
      <c r="AV23" s="347"/>
      <c r="AW23" s="348">
        <v>165</v>
      </c>
      <c r="AX23" s="349"/>
      <c r="AY23" s="350"/>
      <c r="AZ23" s="347"/>
      <c r="BA23" s="348">
        <v>184</v>
      </c>
      <c r="BB23" s="349"/>
      <c r="BC23" s="350"/>
      <c r="BD23" s="347"/>
      <c r="BE23" s="348">
        <v>190</v>
      </c>
      <c r="BF23" s="349"/>
      <c r="BG23" s="350"/>
      <c r="BH23" s="347"/>
      <c r="BI23" s="348">
        <v>191</v>
      </c>
      <c r="BJ23" s="349"/>
      <c r="BK23" s="350"/>
      <c r="BL23" s="347"/>
      <c r="BM23" s="348">
        <v>195</v>
      </c>
      <c r="BN23" s="349"/>
      <c r="BO23" s="350"/>
      <c r="BP23" s="347"/>
      <c r="BQ23" s="348">
        <v>189</v>
      </c>
      <c r="BR23" s="349"/>
      <c r="BS23" s="350"/>
      <c r="BT23" s="1058">
        <v>179</v>
      </c>
      <c r="BU23" s="1058"/>
      <c r="BV23" s="1058"/>
      <c r="BW23" s="352"/>
      <c r="BX23" s="351"/>
      <c r="BY23" s="351"/>
      <c r="BZ23" s="353"/>
      <c r="CA23" s="354"/>
      <c r="CB23" s="29"/>
      <c r="CC23" s="960">
        <v>205</v>
      </c>
      <c r="CD23" s="856"/>
      <c r="CE23" s="857"/>
      <c r="CF23" s="855">
        <f>F25</f>
        <v>202</v>
      </c>
      <c r="CG23" s="856"/>
      <c r="CH23" s="857"/>
      <c r="CI23" s="858">
        <f>CF23/AT23-1</f>
        <v>0.27848101265822778</v>
      </c>
      <c r="CJ23" s="857">
        <f t="shared" si="96"/>
        <v>1.3742047067800689E-2</v>
      </c>
      <c r="DD23" s="12"/>
      <c r="DU23" s="12"/>
      <c r="DV23" s="12"/>
      <c r="DW23" s="12"/>
      <c r="DX23" s="12" t="s">
        <v>446</v>
      </c>
      <c r="DY23" s="12"/>
      <c r="ER23" s="356"/>
      <c r="FH23" s="356"/>
      <c r="FJ23" s="222">
        <f t="shared" si="78"/>
        <v>18</v>
      </c>
      <c r="FK23" s="242"/>
      <c r="FL23" s="877" t="s">
        <v>231</v>
      </c>
      <c r="FM23" s="650">
        <v>195427.44259999992</v>
      </c>
      <c r="FN23" s="650">
        <v>402633.97485000012</v>
      </c>
      <c r="FO23" s="650">
        <v>551207.68739999982</v>
      </c>
      <c r="FP23" s="794">
        <f>FM23+FO23+FN23</f>
        <v>1149269.1048499998</v>
      </c>
      <c r="FQ23" s="650">
        <v>196190.71665227265</v>
      </c>
      <c r="FR23" s="650">
        <v>402633.97485000012</v>
      </c>
      <c r="FS23" s="650">
        <v>557207.68739999982</v>
      </c>
      <c r="FT23" s="650">
        <v>1156032.3789022726</v>
      </c>
      <c r="FU23" s="955">
        <v>1156032.3789022726</v>
      </c>
      <c r="FV23" s="730"/>
      <c r="FW23" s="266"/>
      <c r="GZ23" s="222">
        <v>18</v>
      </c>
      <c r="HA23" s="663">
        <v>18</v>
      </c>
      <c r="HB23" s="999">
        <v>10</v>
      </c>
      <c r="HC23" s="999">
        <v>11</v>
      </c>
      <c r="HD23" s="682">
        <v>215577606</v>
      </c>
      <c r="HE23" s="682">
        <v>242653123</v>
      </c>
      <c r="HF23" s="724">
        <f t="shared" si="22"/>
        <v>1.1000000000000001</v>
      </c>
      <c r="HG23" s="724">
        <f t="shared" si="23"/>
        <v>1.1255952206835436</v>
      </c>
      <c r="HH23" s="723">
        <v>0</v>
      </c>
      <c r="HI23" s="1000">
        <v>0</v>
      </c>
      <c r="HJ23" s="1000">
        <v>1</v>
      </c>
      <c r="HN23" s="243">
        <v>18</v>
      </c>
      <c r="HO23" s="891">
        <v>18</v>
      </c>
      <c r="HP23" s="793">
        <f t="shared" si="2"/>
        <v>1.1255952206835436</v>
      </c>
      <c r="HQ23" s="650">
        <v>3765</v>
      </c>
      <c r="HR23" s="794">
        <f t="shared" si="24"/>
        <v>4237.8660058735413</v>
      </c>
      <c r="HS23" s="650">
        <v>24108935</v>
      </c>
      <c r="HT23" s="975">
        <v>27145426</v>
      </c>
      <c r="HU23" s="650">
        <v>10760066.173500001</v>
      </c>
      <c r="HV23" s="975">
        <v>14076047</v>
      </c>
      <c r="HW23" s="650">
        <v>225000</v>
      </c>
      <c r="HX23" s="955">
        <v>247500</v>
      </c>
      <c r="HY23" s="650">
        <f t="shared" si="25"/>
        <v>10988831.173500001</v>
      </c>
      <c r="HZ23" s="650">
        <f t="shared" si="25"/>
        <v>14327784.866005873</v>
      </c>
      <c r="IA23" s="206"/>
      <c r="IB23" s="207"/>
      <c r="IC23" s="206"/>
      <c r="ID23" s="244">
        <v>18</v>
      </c>
      <c r="IE23" s="891">
        <v>18</v>
      </c>
      <c r="IF23" s="899">
        <f t="shared" si="3"/>
        <v>1.1000000000000001</v>
      </c>
      <c r="IG23" s="900">
        <f t="shared" si="3"/>
        <v>1.1255952206835436</v>
      </c>
      <c r="IH23" s="955">
        <v>3459154.9380523348</v>
      </c>
      <c r="II23" s="794">
        <f t="shared" si="64"/>
        <v>3893608.2658755872</v>
      </c>
      <c r="IJ23" s="955">
        <v>152230.48199999999</v>
      </c>
      <c r="IK23" s="794">
        <f t="shared" si="26"/>
        <v>171349.90298155221</v>
      </c>
      <c r="IL23" s="955">
        <v>1327169.919947665</v>
      </c>
      <c r="IM23" s="794">
        <f t="shared" si="82"/>
        <v>1459886.9119424315</v>
      </c>
      <c r="IN23" s="955">
        <v>2225370.6313538007</v>
      </c>
      <c r="IO23" s="995">
        <v>2567096.6016763039</v>
      </c>
      <c r="IP23" s="955">
        <v>185070.00999999998</v>
      </c>
      <c r="IQ23" s="794">
        <f t="shared" si="27"/>
        <v>208313.91874785558</v>
      </c>
      <c r="IR23" s="955">
        <v>86296.820999999967</v>
      </c>
      <c r="IS23" s="794">
        <f t="shared" si="28"/>
        <v>97135.289277783217</v>
      </c>
      <c r="IT23" s="955">
        <v>536489.61</v>
      </c>
      <c r="IU23" s="794">
        <f t="shared" si="29"/>
        <v>603870.14096237824</v>
      </c>
      <c r="IV23" s="955">
        <v>1603178.8900000001</v>
      </c>
      <c r="IW23" s="794">
        <f t="shared" si="30"/>
        <v>1804530.4964847486</v>
      </c>
      <c r="IX23" s="650">
        <f t="shared" si="31"/>
        <v>9574961.3023538012</v>
      </c>
      <c r="IY23" s="650">
        <f t="shared" si="31"/>
        <v>10805791.52794864</v>
      </c>
      <c r="IZ23" s="683">
        <f t="shared" si="4"/>
        <v>4.453184609517117</v>
      </c>
      <c r="JD23" s="222">
        <v>18</v>
      </c>
      <c r="JE23" s="663">
        <v>18</v>
      </c>
      <c r="JF23" s="660">
        <f t="shared" si="5"/>
        <v>11</v>
      </c>
      <c r="JG23" s="729">
        <f t="shared" si="111"/>
        <v>11</v>
      </c>
      <c r="JH23" s="905">
        <f t="shared" si="6"/>
        <v>242653123</v>
      </c>
      <c r="JI23" s="905">
        <f t="shared" si="83"/>
        <v>242706096.39592665</v>
      </c>
      <c r="JJ23" s="906">
        <f t="shared" si="33"/>
        <v>1</v>
      </c>
      <c r="JK23" s="906">
        <f t="shared" si="34"/>
        <v>1.0002183091454655</v>
      </c>
      <c r="JL23" s="906">
        <f t="shared" si="35"/>
        <v>1.0441901216954887</v>
      </c>
      <c r="JM23" s="663" t="s">
        <v>425</v>
      </c>
      <c r="JN23" s="209"/>
      <c r="JO23" s="210"/>
      <c r="JP23" s="209"/>
      <c r="JQ23" s="222">
        <v>18</v>
      </c>
      <c r="JR23" s="663">
        <v>18</v>
      </c>
      <c r="JS23" s="914" t="str">
        <f t="shared" si="7"/>
        <v>Q2</v>
      </c>
      <c r="JT23" s="913">
        <f t="shared" si="8"/>
        <v>1.0441901216954887</v>
      </c>
      <c r="JU23" s="671">
        <f t="shared" si="36"/>
        <v>4237.8660058735413</v>
      </c>
      <c r="JV23" s="671">
        <f t="shared" si="37"/>
        <v>4425.1378204022676</v>
      </c>
      <c r="JW23" s="671">
        <f t="shared" si="9"/>
        <v>27145426</v>
      </c>
      <c r="JX23" s="671">
        <f t="shared" si="38"/>
        <v>26782115.003072429</v>
      </c>
      <c r="JY23" s="671">
        <f t="shared" si="10"/>
        <v>14076047</v>
      </c>
      <c r="JZ23" s="671">
        <f t="shared" si="11"/>
        <v>12020947.835304422</v>
      </c>
      <c r="KA23" s="671">
        <f t="shared" si="39"/>
        <v>247500</v>
      </c>
      <c r="KB23" s="671">
        <f t="shared" si="40"/>
        <v>525281.47423037852</v>
      </c>
      <c r="KC23" s="671">
        <f t="shared" si="41"/>
        <v>14327784.866005873</v>
      </c>
      <c r="KD23" s="671">
        <f t="shared" si="41"/>
        <v>12550654.447355203</v>
      </c>
      <c r="KE23" s="211"/>
      <c r="KF23" s="210"/>
      <c r="KG23" s="209"/>
      <c r="KH23" s="245">
        <f t="shared" si="65"/>
        <v>18</v>
      </c>
      <c r="KI23" s="917">
        <v>17</v>
      </c>
      <c r="KJ23" s="918">
        <f t="shared" si="66"/>
        <v>1</v>
      </c>
      <c r="KK23" s="918">
        <f t="shared" si="66"/>
        <v>1.0002183091454655</v>
      </c>
      <c r="KL23" s="898">
        <v>1.6626666699999999</v>
      </c>
      <c r="KM23" s="801">
        <f t="shared" si="67"/>
        <v>3559606.5413279589</v>
      </c>
      <c r="KN23" s="898">
        <v>1.6626666699999999</v>
      </c>
      <c r="KO23" s="801">
        <f t="shared" si="42"/>
        <v>315731.46395343827</v>
      </c>
      <c r="KP23" s="898">
        <v>1.6626666699999999</v>
      </c>
      <c r="KQ23" s="801">
        <f t="shared" si="43"/>
        <v>1571826.9035040811</v>
      </c>
      <c r="KR23" s="898">
        <v>1.6626666699999999</v>
      </c>
      <c r="KS23" s="801">
        <f t="shared" si="68"/>
        <v>2061759.7317812166</v>
      </c>
      <c r="KT23" s="898">
        <v>1.6626666699999999</v>
      </c>
      <c r="KU23" s="801">
        <f t="shared" si="44"/>
        <v>94555.300843036166</v>
      </c>
      <c r="KV23" s="898">
        <v>1.6626666699999999</v>
      </c>
      <c r="KW23" s="801">
        <f t="shared" si="45"/>
        <v>84985.376835272007</v>
      </c>
      <c r="KX23" s="898">
        <v>1.6626666699999999</v>
      </c>
      <c r="KY23" s="801">
        <f t="shared" si="46"/>
        <v>553666.47726177669</v>
      </c>
      <c r="KZ23" s="898">
        <v>1.6626666699999999</v>
      </c>
      <c r="LA23" s="919">
        <f t="shared" si="47"/>
        <v>938465.01396961347</v>
      </c>
      <c r="LB23" s="646">
        <f t="shared" si="48"/>
        <v>8910013.589539336</v>
      </c>
      <c r="LC23" s="646">
        <f t="shared" si="79"/>
        <v>9180596.8094763923</v>
      </c>
      <c r="LD23" s="16"/>
      <c r="LE23" s="220"/>
      <c r="LG23" s="222">
        <v>18</v>
      </c>
      <c r="LH23" s="922">
        <v>18</v>
      </c>
      <c r="LI23" s="650">
        <f t="shared" si="12"/>
        <v>10988831.173500001</v>
      </c>
      <c r="LJ23" s="650">
        <f t="shared" si="12"/>
        <v>14327784.866005873</v>
      </c>
      <c r="LK23" s="794">
        <f t="shared" si="13"/>
        <v>12550654.447355203</v>
      </c>
      <c r="LL23" s="650">
        <f t="shared" si="14"/>
        <v>9574961.3023538012</v>
      </c>
      <c r="LM23" s="650">
        <f t="shared" si="14"/>
        <v>10805791.52794864</v>
      </c>
      <c r="LN23" s="794">
        <f t="shared" si="49"/>
        <v>11283300.770584771</v>
      </c>
      <c r="LO23" s="650">
        <f t="shared" si="50"/>
        <v>1413869.8711462002</v>
      </c>
      <c r="LP23" s="650">
        <f t="shared" si="50"/>
        <v>3521993.338057233</v>
      </c>
      <c r="LQ23" s="650">
        <f t="shared" si="50"/>
        <v>1267353.6767704319</v>
      </c>
      <c r="MA23" s="192">
        <f>MA22+1</f>
        <v>17</v>
      </c>
      <c r="MB23" s="194" t="s">
        <v>232</v>
      </c>
      <c r="MC23" s="320">
        <f>'ABDA 3 month Phase I'!LW13</f>
        <v>20057182.17560488</v>
      </c>
      <c r="MD23" s="331">
        <f>MC23/$MC$34*100</f>
        <v>0.91395411369247259</v>
      </c>
      <c r="ME23" s="194"/>
      <c r="MF23" s="357">
        <f>(MF8+MF21)/(1-'ABDA 3 month Phase I'!LW11)-(MF8+MF21)</f>
        <v>20057182.17560488</v>
      </c>
      <c r="MG23" s="331">
        <f>MF23/$MG$34*100</f>
        <v>0.91395411369247259</v>
      </c>
      <c r="MK23" s="192">
        <f>MK22+1</f>
        <v>17</v>
      </c>
      <c r="ML23" s="194" t="str">
        <f>MB23</f>
        <v>Total Return</v>
      </c>
      <c r="MM23" s="981">
        <v>18998322.143907189</v>
      </c>
      <c r="MN23" s="320">
        <f>MC23</f>
        <v>20057182.17560488</v>
      </c>
      <c r="MO23" s="320">
        <f t="shared" si="70"/>
        <v>1058860.0316976905</v>
      </c>
      <c r="MP23" s="802">
        <f>MO23/MM23</f>
        <v>5.5734397157660029E-2</v>
      </c>
    </row>
    <row r="24" spans="1:357" s="29" customFormat="1" ht="16.5" x14ac:dyDescent="0.3">
      <c r="A24" s="7"/>
      <c r="B24" s="358">
        <f>B22+1</f>
        <v>18</v>
      </c>
      <c r="C24" s="359" t="s">
        <v>226</v>
      </c>
      <c r="D24" s="359"/>
      <c r="E24" s="360"/>
      <c r="F24" s="1059">
        <f>GQ6</f>
        <v>2080574152</v>
      </c>
      <c r="G24" s="1060"/>
      <c r="H24" s="1059">
        <f>GU6</f>
        <v>2091530523.2727273</v>
      </c>
      <c r="I24" s="1061"/>
      <c r="J24" s="1060"/>
      <c r="K24" s="1059">
        <f>HE26</f>
        <v>2194071252</v>
      </c>
      <c r="L24" s="1061"/>
      <c r="M24" s="1060"/>
      <c r="N24" s="1059">
        <f>JI26</f>
        <v>2194550237.8201146</v>
      </c>
      <c r="O24" s="1061"/>
      <c r="P24" s="1060"/>
      <c r="Q24" s="361">
        <f t="shared" ref="Q24" si="112">N24-F24</f>
        <v>113976085.82011461</v>
      </c>
      <c r="R24" s="362">
        <f>N24/F24-1</f>
        <v>5.4781073633233701E-2</v>
      </c>
      <c r="S24" s="12"/>
      <c r="T24" s="13"/>
      <c r="U24" s="12"/>
      <c r="V24" s="12"/>
      <c r="W24" s="12"/>
      <c r="X24" s="12"/>
      <c r="Y24" s="12"/>
      <c r="Z24" s="12"/>
      <c r="AA24" s="12"/>
      <c r="AB24" s="12"/>
      <c r="AC24" s="12"/>
      <c r="AD24" s="13"/>
      <c r="AE24" s="12"/>
      <c r="AF24" s="12"/>
      <c r="AG24" s="12"/>
      <c r="AH24" s="12"/>
      <c r="AI24" s="12"/>
      <c r="AJ24" s="12"/>
      <c r="AK24" s="12"/>
      <c r="AL24" s="29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3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3"/>
      <c r="CZ24" s="12"/>
      <c r="DA24" s="12"/>
      <c r="DB24" s="12"/>
      <c r="DC24" s="12"/>
      <c r="DD24" s="12"/>
      <c r="DE24" s="12"/>
      <c r="DF24" s="12"/>
      <c r="DG24" s="12"/>
      <c r="DH24" s="12"/>
      <c r="DI24" s="13"/>
      <c r="DJ24" s="12"/>
      <c r="DK24" s="12"/>
      <c r="DL24" s="12"/>
      <c r="DM24" s="12"/>
      <c r="DN24" s="16"/>
      <c r="DO24" s="12"/>
      <c r="DP24" s="12"/>
      <c r="DQ24" s="12"/>
      <c r="DR24" s="13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3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3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3"/>
      <c r="FI24" s="12"/>
      <c r="FJ24" s="363">
        <f t="shared" si="78"/>
        <v>19</v>
      </c>
      <c r="FK24" s="364"/>
      <c r="FL24" s="365" t="s">
        <v>221</v>
      </c>
      <c r="FM24" s="366">
        <f>SUM(FM22:FM23)</f>
        <v>214730.21509999991</v>
      </c>
      <c r="FN24" s="366">
        <f>SUM(FN22:FN23)</f>
        <v>414688.97485000012</v>
      </c>
      <c r="FO24" s="366">
        <f>SUM(FO22:FO23)</f>
        <v>568847.51739999978</v>
      </c>
      <c r="FP24" s="367">
        <f>FM24+FO24+FN24</f>
        <v>1198266.7073499998</v>
      </c>
      <c r="FQ24" s="366">
        <v>196190.71665227265</v>
      </c>
      <c r="FR24" s="366">
        <v>402633.97485000012</v>
      </c>
      <c r="FS24" s="366">
        <v>557207.68739999982</v>
      </c>
      <c r="FT24" s="366">
        <v>1156032.3789022726</v>
      </c>
      <c r="FU24" s="971">
        <v>1156032.3789022726</v>
      </c>
      <c r="FV24" s="16"/>
      <c r="FW24" s="266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3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3"/>
      <c r="GX24" s="12"/>
      <c r="GY24" s="12"/>
      <c r="GZ24" s="192">
        <v>19</v>
      </c>
      <c r="HA24" s="886">
        <v>19</v>
      </c>
      <c r="HB24" s="886">
        <v>11</v>
      </c>
      <c r="HC24" s="886">
        <v>11</v>
      </c>
      <c r="HD24" s="887">
        <v>281168952.5</v>
      </c>
      <c r="HE24" s="887">
        <v>288278105</v>
      </c>
      <c r="HF24" s="800">
        <f t="shared" si="22"/>
        <v>1</v>
      </c>
      <c r="HG24" s="800">
        <f t="shared" si="23"/>
        <v>1.025284272807468</v>
      </c>
      <c r="HH24" s="802">
        <v>0</v>
      </c>
      <c r="HI24" s="1000">
        <v>9.0909090909090912E-2</v>
      </c>
      <c r="HJ24" s="1000">
        <v>0.90909090909090906</v>
      </c>
      <c r="HK24" s="12"/>
      <c r="HL24" s="13"/>
      <c r="HM24" s="12"/>
      <c r="HN24" s="267">
        <v>19</v>
      </c>
      <c r="HO24" s="892">
        <v>19</v>
      </c>
      <c r="HP24" s="799">
        <f t="shared" si="2"/>
        <v>1.025284272807468</v>
      </c>
      <c r="HQ24" s="860">
        <v>1328.64</v>
      </c>
      <c r="HR24" s="801">
        <f t="shared" si="24"/>
        <v>1362.2336962229144</v>
      </c>
      <c r="HS24" s="860">
        <v>32365939</v>
      </c>
      <c r="HT24" s="975">
        <v>32214175</v>
      </c>
      <c r="HU24" s="860">
        <v>14825604.0823</v>
      </c>
      <c r="HV24" s="975">
        <v>16732387</v>
      </c>
      <c r="HW24" s="860">
        <v>247500</v>
      </c>
      <c r="HX24" s="955">
        <v>247500</v>
      </c>
      <c r="HY24" s="860">
        <f t="shared" si="25"/>
        <v>15074432.7223</v>
      </c>
      <c r="HZ24" s="860">
        <f t="shared" si="25"/>
        <v>16981249.233696222</v>
      </c>
      <c r="IA24" s="206"/>
      <c r="IB24" s="207"/>
      <c r="IC24" s="206"/>
      <c r="ID24" s="208">
        <v>19</v>
      </c>
      <c r="IE24" s="892">
        <v>19</v>
      </c>
      <c r="IF24" s="896">
        <f t="shared" si="3"/>
        <v>1</v>
      </c>
      <c r="IG24" s="897">
        <f t="shared" si="3"/>
        <v>1.025284272807468</v>
      </c>
      <c r="IH24" s="955">
        <v>4832384.6993265636</v>
      </c>
      <c r="II24" s="801">
        <f t="shared" si="64"/>
        <v>4954568.0323749706</v>
      </c>
      <c r="IJ24" s="955">
        <v>73302.798999999999</v>
      </c>
      <c r="IK24" s="801">
        <f t="shared" si="26"/>
        <v>75156.206967466991</v>
      </c>
      <c r="IL24" s="955">
        <v>1795439.9916734365</v>
      </c>
      <c r="IM24" s="801">
        <f t="shared" si="82"/>
        <v>1795439.9916734365</v>
      </c>
      <c r="IN24" s="955">
        <v>2524707.7237054296</v>
      </c>
      <c r="IO24" s="995">
        <v>2594062.5496446453</v>
      </c>
      <c r="IP24" s="955">
        <v>136160.67300000007</v>
      </c>
      <c r="IQ24" s="801">
        <f t="shared" si="27"/>
        <v>139603.39660178052</v>
      </c>
      <c r="IR24" s="955">
        <v>123511.94300000001</v>
      </c>
      <c r="IS24" s="801">
        <f t="shared" si="28"/>
        <v>126634.85266179245</v>
      </c>
      <c r="IT24" s="955">
        <v>1057746.7799999998</v>
      </c>
      <c r="IU24" s="801">
        <f t="shared" si="29"/>
        <v>1084491.1381467406</v>
      </c>
      <c r="IV24" s="955">
        <v>1391412.84</v>
      </c>
      <c r="IW24" s="801">
        <f t="shared" si="30"/>
        <v>1426593.7018343739</v>
      </c>
      <c r="IX24" s="860">
        <f t="shared" si="31"/>
        <v>11934667.449705429</v>
      </c>
      <c r="IY24" s="860">
        <f t="shared" si="31"/>
        <v>12196549.869905207</v>
      </c>
      <c r="IZ24" s="898">
        <f t="shared" si="4"/>
        <v>4.2308276828395304</v>
      </c>
      <c r="JA24" s="12"/>
      <c r="JB24" s="13"/>
      <c r="JC24" s="12"/>
      <c r="JD24" s="192">
        <v>19</v>
      </c>
      <c r="JE24" s="886">
        <v>19</v>
      </c>
      <c r="JF24" s="796">
        <f t="shared" si="5"/>
        <v>11</v>
      </c>
      <c r="JG24" s="804">
        <f t="shared" si="111"/>
        <v>11</v>
      </c>
      <c r="JH24" s="859">
        <f t="shared" si="6"/>
        <v>288278105</v>
      </c>
      <c r="JI24" s="859">
        <f t="shared" si="83"/>
        <v>288341038.74675894</v>
      </c>
      <c r="JJ24" s="904">
        <f t="shared" si="33"/>
        <v>1</v>
      </c>
      <c r="JK24" s="904">
        <f t="shared" si="34"/>
        <v>1.0002183091454655</v>
      </c>
      <c r="JL24" s="904">
        <f t="shared" si="35"/>
        <v>1.0303765251155119</v>
      </c>
      <c r="JM24" s="886" t="s">
        <v>238</v>
      </c>
      <c r="JN24" s="209"/>
      <c r="JO24" s="210"/>
      <c r="JP24" s="209"/>
      <c r="JQ24" s="192">
        <v>19</v>
      </c>
      <c r="JR24" s="886">
        <v>19</v>
      </c>
      <c r="JS24" s="910" t="str">
        <f t="shared" si="7"/>
        <v>Q3</v>
      </c>
      <c r="JT24" s="911">
        <f t="shared" si="8"/>
        <v>1.0303765251155119</v>
      </c>
      <c r="JU24" s="860">
        <f t="shared" si="36"/>
        <v>1362.2336962229144</v>
      </c>
      <c r="JV24" s="860">
        <f t="shared" si="37"/>
        <v>1403.6136223094263</v>
      </c>
      <c r="JW24" s="860">
        <f t="shared" si="9"/>
        <v>32214175</v>
      </c>
      <c r="JX24" s="860">
        <f t="shared" si="38"/>
        <v>31817836.364619091</v>
      </c>
      <c r="JY24" s="860">
        <f t="shared" si="10"/>
        <v>16732387</v>
      </c>
      <c r="JZ24" s="860">
        <f t="shared" si="11"/>
        <v>14281192.920255184</v>
      </c>
      <c r="KA24" s="860">
        <f t="shared" si="39"/>
        <v>247500</v>
      </c>
      <c r="KB24" s="860">
        <f t="shared" si="40"/>
        <v>624047.80169567338</v>
      </c>
      <c r="KC24" s="860">
        <f t="shared" si="41"/>
        <v>16981249.233696222</v>
      </c>
      <c r="KD24" s="860">
        <f t="shared" si="41"/>
        <v>14906644.335573167</v>
      </c>
      <c r="KE24" s="211"/>
      <c r="KF24" s="210"/>
      <c r="KG24" s="209"/>
      <c r="KH24" s="243">
        <f t="shared" si="65"/>
        <v>19</v>
      </c>
      <c r="KI24" s="891">
        <v>18</v>
      </c>
      <c r="KJ24" s="920">
        <f t="shared" si="66"/>
        <v>1</v>
      </c>
      <c r="KK24" s="920">
        <f t="shared" si="66"/>
        <v>1.0002183091454655</v>
      </c>
      <c r="KL24" s="683">
        <v>1.6406666700000001</v>
      </c>
      <c r="KM24" s="794">
        <f t="shared" si="67"/>
        <v>4065998.014385588</v>
      </c>
      <c r="KN24" s="683">
        <v>1.6406666700000001</v>
      </c>
      <c r="KO24" s="794">
        <f t="shared" si="42"/>
        <v>178936.43060968796</v>
      </c>
      <c r="KP24" s="683">
        <v>1.6406666700000001</v>
      </c>
      <c r="KQ24" s="794">
        <f t="shared" si="43"/>
        <v>1524190.7511266959</v>
      </c>
      <c r="KR24" s="683">
        <v>1.6406666700000001</v>
      </c>
      <c r="KS24" s="794">
        <f t="shared" si="68"/>
        <v>2680169.8580321865</v>
      </c>
      <c r="KT24" s="683">
        <v>1.6406666700000001</v>
      </c>
      <c r="KU24" s="794">
        <f t="shared" si="44"/>
        <v>217537.03047658515</v>
      </c>
      <c r="KV24" s="683">
        <v>1.6406666700000001</v>
      </c>
      <c r="KW24" s="794">
        <f t="shared" si="45"/>
        <v>101435.96026125146</v>
      </c>
      <c r="KX24" s="683">
        <v>1.6406666700000001</v>
      </c>
      <c r="KY24" s="794">
        <f t="shared" si="46"/>
        <v>630606.52906941168</v>
      </c>
      <c r="KZ24" s="683">
        <v>1.6406666700000001</v>
      </c>
      <c r="LA24" s="794">
        <f t="shared" si="47"/>
        <v>1884426.1966233647</v>
      </c>
      <c r="LB24" s="650">
        <f t="shared" si="48"/>
        <v>10805791.52794864</v>
      </c>
      <c r="LC24" s="650">
        <f t="shared" si="79"/>
        <v>11283300.770584771</v>
      </c>
      <c r="LD24" s="16"/>
      <c r="LE24" s="220"/>
      <c r="LF24" s="12"/>
      <c r="LG24" s="192">
        <v>19</v>
      </c>
      <c r="LH24" s="921">
        <v>19</v>
      </c>
      <c r="LI24" s="860">
        <f t="shared" si="12"/>
        <v>15074432.7223</v>
      </c>
      <c r="LJ24" s="860">
        <f t="shared" si="12"/>
        <v>16981249.233696222</v>
      </c>
      <c r="LK24" s="801">
        <f t="shared" si="13"/>
        <v>14906644.335573167</v>
      </c>
      <c r="LL24" s="860">
        <f t="shared" si="14"/>
        <v>11934667.449705429</v>
      </c>
      <c r="LM24" s="860">
        <f t="shared" si="14"/>
        <v>12196549.869905207</v>
      </c>
      <c r="LN24" s="801">
        <f t="shared" si="49"/>
        <v>12567038.673350977</v>
      </c>
      <c r="LO24" s="860">
        <f t="shared" si="50"/>
        <v>3139765.2725945711</v>
      </c>
      <c r="LP24" s="860">
        <f t="shared" si="50"/>
        <v>4784699.363791015</v>
      </c>
      <c r="LQ24" s="860">
        <f t="shared" si="50"/>
        <v>2339605.6622221898</v>
      </c>
      <c r="LR24" s="12"/>
      <c r="LS24" s="13"/>
      <c r="LT24" s="12"/>
      <c r="LU24" s="12"/>
      <c r="LV24" s="12"/>
      <c r="LW24" s="12"/>
      <c r="LX24" s="12"/>
      <c r="LY24" s="13"/>
      <c r="LZ24" s="12"/>
      <c r="MA24" s="293">
        <f t="shared" si="80"/>
        <v>18</v>
      </c>
      <c r="MB24" s="816" t="s">
        <v>233</v>
      </c>
      <c r="MC24" s="932">
        <f>1-(MC8+MC21)/(MC8+MC21+MC23)</f>
        <v>5.3900000000000059E-2</v>
      </c>
      <c r="MD24" s="930"/>
      <c r="ME24" s="839"/>
      <c r="MF24" s="933">
        <f>1-(MF8+MF21)/(MF8+MF21+MF23)</f>
        <v>5.3900000000000059E-2</v>
      </c>
      <c r="MG24" s="930"/>
      <c r="MH24" s="12"/>
      <c r="MI24" s="13"/>
      <c r="MJ24" s="12"/>
      <c r="MK24" s="293">
        <f t="shared" si="81"/>
        <v>18</v>
      </c>
      <c r="ML24" s="941" t="str">
        <f>MB24</f>
        <v>Pre-Tax Return</v>
      </c>
      <c r="MM24" s="982">
        <v>5.3900000000000059E-2</v>
      </c>
      <c r="MN24" s="942">
        <f>MC24</f>
        <v>5.3900000000000059E-2</v>
      </c>
      <c r="MO24" s="942">
        <f t="shared" si="70"/>
        <v>0</v>
      </c>
      <c r="MP24" s="943">
        <f t="shared" si="71"/>
        <v>0</v>
      </c>
      <c r="MQ24" s="12"/>
      <c r="MR24" s="13"/>
      <c r="MS24" s="12"/>
    </row>
    <row r="25" spans="1:357" ht="17.25" thickBot="1" x14ac:dyDescent="0.35">
      <c r="A25" s="5"/>
      <c r="B25" s="368">
        <f>B24+1</f>
        <v>19</v>
      </c>
      <c r="C25" s="369" t="s">
        <v>234</v>
      </c>
      <c r="D25" s="369"/>
      <c r="E25" s="370"/>
      <c r="F25" s="1051">
        <f>HB26</f>
        <v>202</v>
      </c>
      <c r="G25" s="1052"/>
      <c r="H25" s="1051">
        <f>HB26</f>
        <v>202</v>
      </c>
      <c r="I25" s="1053"/>
      <c r="J25" s="1052"/>
      <c r="K25" s="1051">
        <f>JF26</f>
        <v>221</v>
      </c>
      <c r="L25" s="1053"/>
      <c r="M25" s="1052"/>
      <c r="N25" s="1051">
        <f>JG26</f>
        <v>219</v>
      </c>
      <c r="O25" s="1053"/>
      <c r="P25" s="1052"/>
      <c r="Q25" s="371">
        <f>N25-F25</f>
        <v>17</v>
      </c>
      <c r="R25" s="372">
        <f>N25/F25-1</f>
        <v>8.4158415841584233E-2</v>
      </c>
      <c r="AL25" s="299"/>
      <c r="DU25" s="12"/>
      <c r="DV25" s="12"/>
      <c r="DW25" s="12"/>
      <c r="DX25" s="12"/>
      <c r="DY25" s="12"/>
      <c r="FJ25" s="222">
        <f t="shared" si="78"/>
        <v>20</v>
      </c>
      <c r="FK25" s="307" t="s">
        <v>235</v>
      </c>
      <c r="FL25" s="308"/>
      <c r="FM25" s="329"/>
      <c r="FN25" s="329"/>
      <c r="FO25" s="329"/>
      <c r="FP25" s="330"/>
      <c r="FQ25" s="329"/>
      <c r="FR25" s="329"/>
      <c r="FS25" s="329"/>
      <c r="FT25" s="329"/>
      <c r="FU25" s="329"/>
      <c r="FV25" s="16"/>
      <c r="FW25" s="266"/>
      <c r="GZ25" s="297">
        <v>20</v>
      </c>
      <c r="HA25" s="668">
        <v>20</v>
      </c>
      <c r="HB25" s="668">
        <v>10</v>
      </c>
      <c r="HC25" s="668">
        <v>10</v>
      </c>
      <c r="HD25" s="889">
        <v>345437324</v>
      </c>
      <c r="HE25" s="889">
        <v>354093613</v>
      </c>
      <c r="HF25" s="728">
        <f t="shared" si="22"/>
        <v>1</v>
      </c>
      <c r="HG25" s="728">
        <f t="shared" si="23"/>
        <v>1.0250589279113336</v>
      </c>
      <c r="HH25" s="726">
        <v>0</v>
      </c>
      <c r="HI25" s="726">
        <v>0</v>
      </c>
      <c r="HJ25" s="726">
        <v>1</v>
      </c>
      <c r="HN25" s="373">
        <v>20</v>
      </c>
      <c r="HO25" s="893">
        <v>20</v>
      </c>
      <c r="HP25" s="894">
        <f t="shared" si="2"/>
        <v>1.0250589279113336</v>
      </c>
      <c r="HQ25" s="727">
        <v>74981.02</v>
      </c>
      <c r="HR25" s="895">
        <f t="shared" si="24"/>
        <v>76859.963974898259</v>
      </c>
      <c r="HS25" s="727">
        <v>38245984</v>
      </c>
      <c r="HT25" s="976">
        <v>39214260</v>
      </c>
      <c r="HU25" s="727">
        <v>16742232.458199998</v>
      </c>
      <c r="HV25" s="976">
        <v>20224278</v>
      </c>
      <c r="HW25" s="727">
        <v>225000</v>
      </c>
      <c r="HX25" s="968">
        <v>225000</v>
      </c>
      <c r="HY25" s="727">
        <f t="shared" si="25"/>
        <v>17042213.4782</v>
      </c>
      <c r="HZ25" s="727">
        <f t="shared" si="25"/>
        <v>20526137.963974897</v>
      </c>
      <c r="IA25" s="206"/>
      <c r="IB25" s="207"/>
      <c r="IC25" s="206"/>
      <c r="ID25" s="374">
        <v>20</v>
      </c>
      <c r="IE25" s="893">
        <v>20</v>
      </c>
      <c r="IF25" s="901">
        <f t="shared" si="3"/>
        <v>1</v>
      </c>
      <c r="IG25" s="902">
        <f t="shared" si="3"/>
        <v>1.0250589279113336</v>
      </c>
      <c r="IH25" s="968">
        <v>5724380.0135961343</v>
      </c>
      <c r="II25" s="895">
        <f t="shared" si="64"/>
        <v>5867826.8396939188</v>
      </c>
      <c r="IJ25" s="968">
        <v>219612.97514999998</v>
      </c>
      <c r="IK25" s="895">
        <f t="shared" si="26"/>
        <v>225116.24086267731</v>
      </c>
      <c r="IL25" s="968">
        <v>2632646.793253866</v>
      </c>
      <c r="IM25" s="895">
        <f t="shared" si="82"/>
        <v>2632646.793253866</v>
      </c>
      <c r="IN25" s="968">
        <v>2694508.4728766764</v>
      </c>
      <c r="IO25" s="996">
        <v>2694508.4728766764</v>
      </c>
      <c r="IP25" s="968">
        <v>401825.30300000007</v>
      </c>
      <c r="IQ25" s="895">
        <f>IP25*$HG25</f>
        <v>411894.61430082686</v>
      </c>
      <c r="IR25" s="968">
        <v>156788.33400000003</v>
      </c>
      <c r="IS25" s="895">
        <f t="shared" si="28"/>
        <v>160717.28155904412</v>
      </c>
      <c r="IT25" s="968">
        <v>1244707.0171640001</v>
      </c>
      <c r="IU25" s="895">
        <f t="shared" si="29"/>
        <v>1275898.0405778438</v>
      </c>
      <c r="IV25" s="968">
        <v>1610495.5785100001</v>
      </c>
      <c r="IW25" s="895">
        <f t="shared" si="30"/>
        <v>1650852.8711134037</v>
      </c>
      <c r="IX25" s="727">
        <f t="shared" si="31"/>
        <v>14684964.487550676</v>
      </c>
      <c r="IY25" s="727">
        <f t="shared" si="31"/>
        <v>14919461.154238256</v>
      </c>
      <c r="IZ25" s="903">
        <f t="shared" si="4"/>
        <v>4.2134228369259672</v>
      </c>
      <c r="JD25" s="297">
        <v>20</v>
      </c>
      <c r="JE25" s="668">
        <v>20</v>
      </c>
      <c r="JF25" s="665">
        <f t="shared" si="5"/>
        <v>10</v>
      </c>
      <c r="JG25" s="907">
        <f t="shared" si="111"/>
        <v>10</v>
      </c>
      <c r="JH25" s="908">
        <f t="shared" si="6"/>
        <v>354093613</v>
      </c>
      <c r="JI25" s="908">
        <f t="shared" si="83"/>
        <v>354170914.8740688</v>
      </c>
      <c r="JJ25" s="909">
        <f t="shared" si="33"/>
        <v>1</v>
      </c>
      <c r="JK25" s="909">
        <f t="shared" si="34"/>
        <v>1.0002183091454655</v>
      </c>
      <c r="JL25" s="909">
        <f t="shared" si="35"/>
        <v>1.0303771630103109</v>
      </c>
      <c r="JM25" s="668" t="s">
        <v>238</v>
      </c>
      <c r="JN25" s="209"/>
      <c r="JO25" s="210"/>
      <c r="JP25" s="209"/>
      <c r="JQ25" s="297">
        <v>20</v>
      </c>
      <c r="JR25" s="668">
        <v>20</v>
      </c>
      <c r="JS25" s="915" t="str">
        <f t="shared" si="7"/>
        <v>Q3</v>
      </c>
      <c r="JT25" s="916">
        <f t="shared" si="8"/>
        <v>1.0303771630103109</v>
      </c>
      <c r="JU25" s="673">
        <f t="shared" si="36"/>
        <v>76859.963974898259</v>
      </c>
      <c r="JV25" s="673">
        <f t="shared" si="37"/>
        <v>79194.751629530365</v>
      </c>
      <c r="JW25" s="673">
        <f t="shared" si="9"/>
        <v>39214260</v>
      </c>
      <c r="JX25" s="673">
        <f t="shared" si="38"/>
        <v>39082026.837212488</v>
      </c>
      <c r="JY25" s="673">
        <f t="shared" si="10"/>
        <v>20224278</v>
      </c>
      <c r="JZ25" s="673">
        <f t="shared" si="11"/>
        <v>17541669.351139862</v>
      </c>
      <c r="KA25" s="673">
        <f t="shared" si="39"/>
        <v>225000</v>
      </c>
      <c r="KB25" s="673">
        <f t="shared" si="40"/>
        <v>766521.41440685734</v>
      </c>
      <c r="KC25" s="673">
        <f t="shared" si="41"/>
        <v>20526137.963974897</v>
      </c>
      <c r="KD25" s="673">
        <f t="shared" si="41"/>
        <v>18387385.517176252</v>
      </c>
      <c r="KE25" s="211"/>
      <c r="KF25" s="210"/>
      <c r="KG25" s="209"/>
      <c r="KH25" s="245">
        <f t="shared" si="65"/>
        <v>20</v>
      </c>
      <c r="KI25" s="917">
        <v>19</v>
      </c>
      <c r="KJ25" s="918">
        <f t="shared" si="66"/>
        <v>1</v>
      </c>
      <c r="KK25" s="918">
        <f t="shared" si="66"/>
        <v>1.0002183091454655</v>
      </c>
      <c r="KL25" s="898">
        <v>1.6626666699999999</v>
      </c>
      <c r="KM25" s="801">
        <f t="shared" si="67"/>
        <v>5105471.6359847859</v>
      </c>
      <c r="KN25" s="898">
        <v>1.6626666699999999</v>
      </c>
      <c r="KO25" s="801">
        <f t="shared" si="42"/>
        <v>77445.274831895818</v>
      </c>
      <c r="KP25" s="898">
        <v>1.6626666699999999</v>
      </c>
      <c r="KQ25" s="801">
        <f t="shared" si="43"/>
        <v>1849720.7390984457</v>
      </c>
      <c r="KR25" s="898">
        <v>1.6626666699999999</v>
      </c>
      <c r="KS25" s="801">
        <f t="shared" si="68"/>
        <v>2672487.7015377465</v>
      </c>
      <c r="KT25" s="898">
        <v>1.6626666699999999</v>
      </c>
      <c r="KU25" s="801">
        <f t="shared" si="44"/>
        <v>143855.36276426364</v>
      </c>
      <c r="KV25" s="898">
        <v>1.6626666699999999</v>
      </c>
      <c r="KW25" s="801">
        <f t="shared" si="45"/>
        <v>130491.8297957006</v>
      </c>
      <c r="KX25" s="898">
        <v>1.6626666699999999</v>
      </c>
      <c r="KY25" s="801">
        <f t="shared" si="46"/>
        <v>1117521.9936642917</v>
      </c>
      <c r="KZ25" s="898">
        <v>1.6626666699999999</v>
      </c>
      <c r="LA25" s="919">
        <f t="shared" si="47"/>
        <v>1470044.1356738464</v>
      </c>
      <c r="LB25" s="646">
        <f t="shared" si="48"/>
        <v>12196549.869905207</v>
      </c>
      <c r="LC25" s="646">
        <f t="shared" si="79"/>
        <v>12567038.673350977</v>
      </c>
      <c r="LD25" s="16"/>
      <c r="LE25" s="220"/>
      <c r="LG25" s="222">
        <v>20</v>
      </c>
      <c r="LH25" s="922">
        <v>20</v>
      </c>
      <c r="LI25" s="650">
        <f t="shared" si="12"/>
        <v>17042213.4782</v>
      </c>
      <c r="LJ25" s="650">
        <f t="shared" si="12"/>
        <v>20526137.963974897</v>
      </c>
      <c r="LK25" s="794">
        <f t="shared" si="13"/>
        <v>18387385.517176252</v>
      </c>
      <c r="LL25" s="650">
        <f t="shared" si="14"/>
        <v>14684964.487550676</v>
      </c>
      <c r="LM25" s="650">
        <f t="shared" si="14"/>
        <v>14919461.154238256</v>
      </c>
      <c r="LN25" s="794">
        <f t="shared" si="49"/>
        <v>15372672.057746554</v>
      </c>
      <c r="LO25" s="650">
        <f t="shared" si="50"/>
        <v>2357248.9906493239</v>
      </c>
      <c r="LP25" s="650">
        <f t="shared" si="50"/>
        <v>5606676.8097366411</v>
      </c>
      <c r="LQ25" s="650">
        <f t="shared" si="50"/>
        <v>3014713.4594296981</v>
      </c>
      <c r="MA25" s="312">
        <f>MA24+1</f>
        <v>19</v>
      </c>
      <c r="MB25" s="375" t="s">
        <v>236</v>
      </c>
      <c r="MC25" s="376">
        <f>MC21+MC23-MC10</f>
        <v>129618891.82735759</v>
      </c>
      <c r="MD25" s="377">
        <f>MC25/$MC$34*100</f>
        <v>5.906398932845133</v>
      </c>
      <c r="ME25" s="375"/>
      <c r="MF25" s="378">
        <f>MF21+MF23-MF10</f>
        <v>129618891.82735759</v>
      </c>
      <c r="MG25" s="377">
        <f>MF25/$MG$34*100</f>
        <v>5.906398932845133</v>
      </c>
      <c r="MK25" s="312">
        <f>MK24+1</f>
        <v>19</v>
      </c>
      <c r="ML25" s="376" t="str">
        <f>MB25</f>
        <v>Revenue Requirement</v>
      </c>
      <c r="MM25" s="983">
        <v>112402506.16203304</v>
      </c>
      <c r="MN25" s="376">
        <f>MC25</f>
        <v>129618891.82735759</v>
      </c>
      <c r="MO25" s="376">
        <f t="shared" si="70"/>
        <v>17216385.665324554</v>
      </c>
      <c r="MP25" s="944">
        <f t="shared" si="71"/>
        <v>0.1531672758301883</v>
      </c>
    </row>
    <row r="26" spans="1:357" s="29" customFormat="1" ht="17.25" thickBot="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2"/>
      <c r="V26" s="12"/>
      <c r="W26" s="12"/>
      <c r="X26" s="12"/>
      <c r="Y26" s="12"/>
      <c r="Z26" s="12"/>
      <c r="AA26" s="12"/>
      <c r="AB26" s="12"/>
      <c r="AC26" s="12"/>
      <c r="AD26" s="13"/>
      <c r="AE26" s="12"/>
      <c r="AF26" s="12"/>
      <c r="AG26" s="12"/>
      <c r="AH26" s="12"/>
      <c r="AI26" s="12"/>
      <c r="AJ26" s="12"/>
      <c r="AK26" s="12"/>
      <c r="AL26" s="299"/>
      <c r="AM26" s="12"/>
      <c r="AN26" s="379"/>
      <c r="AO26" s="380"/>
      <c r="AP26" s="12"/>
      <c r="AQ26" s="15"/>
      <c r="AR26" s="12"/>
      <c r="AS26" s="381"/>
      <c r="AT26" s="381"/>
      <c r="AU26" s="15"/>
      <c r="AV26" s="381"/>
      <c r="AW26" s="381"/>
      <c r="AX26" s="381"/>
      <c r="AY26" s="15"/>
      <c r="AZ26" s="381"/>
      <c r="BA26" s="381"/>
      <c r="BB26" s="381"/>
      <c r="BC26" s="15"/>
      <c r="BD26" s="381"/>
      <c r="BE26" s="381"/>
      <c r="BF26" s="381"/>
      <c r="BG26" s="15"/>
      <c r="BH26" s="381"/>
      <c r="BI26" s="381"/>
      <c r="BJ26" s="381"/>
      <c r="BK26" s="15"/>
      <c r="BL26" s="381"/>
      <c r="BM26" s="381"/>
      <c r="BN26" s="381"/>
      <c r="BO26" s="15"/>
      <c r="BP26" s="381"/>
      <c r="BQ26" s="381"/>
      <c r="BR26" s="381"/>
      <c r="BS26" s="15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12"/>
      <c r="CL26" s="13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3"/>
      <c r="CZ26" s="12"/>
      <c r="DA26" s="12"/>
      <c r="DB26" s="12"/>
      <c r="DC26" s="12"/>
      <c r="DD26" s="16"/>
      <c r="DE26" s="12"/>
      <c r="DF26" s="12"/>
      <c r="DG26" s="12"/>
      <c r="DH26" s="12"/>
      <c r="DI26" s="13"/>
      <c r="DJ26" s="12"/>
      <c r="DK26" s="12"/>
      <c r="DL26" s="12"/>
      <c r="DM26" s="12"/>
      <c r="DN26" s="16"/>
      <c r="DO26" s="12"/>
      <c r="DP26" s="12"/>
      <c r="DQ26" s="12"/>
      <c r="DR26" s="1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3"/>
      <c r="EF26" s="38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3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3"/>
      <c r="FI26" s="12"/>
      <c r="FJ26" s="383">
        <f t="shared" si="78"/>
        <v>21</v>
      </c>
      <c r="FK26" s="384"/>
      <c r="FL26" s="882" t="s">
        <v>237</v>
      </c>
      <c r="FM26" s="880">
        <v>499417.62</v>
      </c>
      <c r="FN26" s="880">
        <v>41431.71</v>
      </c>
      <c r="FO26" s="880">
        <v>265382.31</v>
      </c>
      <c r="FP26" s="881">
        <f t="shared" ref="FP26:FP31" si="113">FM26+FO26+FN26</f>
        <v>806231.6399999999</v>
      </c>
      <c r="FQ26" s="880">
        <v>499417.61999999994</v>
      </c>
      <c r="FR26" s="880">
        <v>41431.71</v>
      </c>
      <c r="FS26" s="880">
        <v>265382.31</v>
      </c>
      <c r="FT26" s="880">
        <v>806231.6399999999</v>
      </c>
      <c r="FU26" s="955">
        <v>806231.6399999999</v>
      </c>
      <c r="FV26" s="16"/>
      <c r="FW26" s="266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3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3"/>
      <c r="GX26" s="12"/>
      <c r="GY26" s="12"/>
      <c r="GZ26" s="302">
        <v>21</v>
      </c>
      <c r="HA26" s="385" t="s">
        <v>71</v>
      </c>
      <c r="HB26" s="385">
        <f>SUM(HB6:HB25)</f>
        <v>202</v>
      </c>
      <c r="HC26" s="385">
        <f>SUM(HC6:HC25)</f>
        <v>221</v>
      </c>
      <c r="HD26" s="386">
        <f>SUM(HD6:HD25)</f>
        <v>2091530523.2727273</v>
      </c>
      <c r="HE26" s="386">
        <f>SUM(HE6:HE25)</f>
        <v>2194071252</v>
      </c>
      <c r="HF26" s="387">
        <f t="shared" si="22"/>
        <v>1.0940594059405941</v>
      </c>
      <c r="HG26" s="387">
        <f t="shared" si="23"/>
        <v>1.0490266470349292</v>
      </c>
      <c r="HH26" s="386"/>
      <c r="HI26" s="386"/>
      <c r="HJ26" s="386"/>
      <c r="HK26" s="190"/>
      <c r="HL26" s="13"/>
      <c r="HM26" s="317"/>
      <c r="HN26" s="388">
        <v>21</v>
      </c>
      <c r="HO26" s="389" t="s">
        <v>71</v>
      </c>
      <c r="HP26" s="390">
        <f t="shared" si="2"/>
        <v>1.0490266470349292</v>
      </c>
      <c r="HQ26" s="391">
        <f t="shared" ref="HQ26:HW26" si="114">SUM(HQ6:HQ25)</f>
        <v>314630.85259999998</v>
      </c>
      <c r="HR26" s="392">
        <f t="shared" si="114"/>
        <v>323903.59259512648</v>
      </c>
      <c r="HS26" s="391">
        <f t="shared" si="114"/>
        <v>232634365.45454544</v>
      </c>
      <c r="HT26" s="392">
        <f t="shared" si="114"/>
        <v>242214042</v>
      </c>
      <c r="HU26" s="391">
        <f t="shared" si="114"/>
        <v>106040187.41487272</v>
      </c>
      <c r="HV26" s="392">
        <f t="shared" si="114"/>
        <v>123895104</v>
      </c>
      <c r="HW26" s="391">
        <f t="shared" si="114"/>
        <v>4505138.589094515</v>
      </c>
      <c r="HX26" s="392">
        <f>SUM(HX6:HX25)</f>
        <v>4786954.6233764458</v>
      </c>
      <c r="HY26" s="391">
        <f>SUM(HQ26,HU26,HW26)</f>
        <v>110859956.85656723</v>
      </c>
      <c r="HZ26" s="391">
        <f>SUM(HR26,HV26,HX26)</f>
        <v>129005962.21597157</v>
      </c>
      <c r="IA26" s="393"/>
      <c r="IB26" s="394"/>
      <c r="IC26" s="393"/>
      <c r="ID26" s="208">
        <v>21</v>
      </c>
      <c r="IE26" s="395" t="s">
        <v>71</v>
      </c>
      <c r="IF26" s="396">
        <f>HF26</f>
        <v>1.0940594059405941</v>
      </c>
      <c r="IG26" s="397">
        <f t="shared" ref="IG26" si="115">HG26</f>
        <v>1.0490266470349292</v>
      </c>
      <c r="IH26" s="398">
        <f t="shared" ref="IH26:IW26" si="116">SUM(IH6:IH25)</f>
        <v>36813199.8476827</v>
      </c>
      <c r="II26" s="399">
        <f t="shared" si="116"/>
        <v>38759425.026482746</v>
      </c>
      <c r="IJ26" s="398">
        <f t="shared" si="116"/>
        <v>1805841.8473045456</v>
      </c>
      <c r="IK26" s="399">
        <f t="shared" si="116"/>
        <v>1927835.2228029165</v>
      </c>
      <c r="IL26" s="398">
        <f t="shared" si="116"/>
        <v>17962433.615376391</v>
      </c>
      <c r="IM26" s="399">
        <f t="shared" si="116"/>
        <v>18604918.663317382</v>
      </c>
      <c r="IN26" s="398">
        <f t="shared" si="116"/>
        <v>23103829.087177191</v>
      </c>
      <c r="IO26" s="399">
        <f t="shared" si="116"/>
        <v>24327750.680698965</v>
      </c>
      <c r="IP26" s="398">
        <f t="shared" si="116"/>
        <v>2229849.6176878791</v>
      </c>
      <c r="IQ26" s="399">
        <f t="shared" si="116"/>
        <v>2404636.0465707122</v>
      </c>
      <c r="IR26" s="398">
        <f t="shared" si="116"/>
        <v>1392570.6222590909</v>
      </c>
      <c r="IS26" s="399">
        <f t="shared" si="116"/>
        <v>1494191.7007989204</v>
      </c>
      <c r="IT26" s="398">
        <f t="shared" si="116"/>
        <v>5942658.7207094552</v>
      </c>
      <c r="IU26" s="399">
        <f t="shared" si="116"/>
        <v>6168270.1152246939</v>
      </c>
      <c r="IV26" s="398">
        <f t="shared" si="116"/>
        <v>12035251.726130454</v>
      </c>
      <c r="IW26" s="399">
        <f t="shared" si="116"/>
        <v>12737461.434445117</v>
      </c>
      <c r="IX26" s="398">
        <f t="shared" si="31"/>
        <v>101285635.08432771</v>
      </c>
      <c r="IY26" s="398">
        <f>II26+IK26+IM26+IO26+IU26+IW26+IQ26+IS26</f>
        <v>106424488.89034145</v>
      </c>
      <c r="IZ26" s="400">
        <f t="shared" si="4"/>
        <v>4.8505484401808046</v>
      </c>
      <c r="JA26" s="190"/>
      <c r="JB26" s="401"/>
      <c r="JC26" s="12"/>
      <c r="JD26" s="302">
        <v>21</v>
      </c>
      <c r="JE26" s="385" t="s">
        <v>71</v>
      </c>
      <c r="JF26" s="344">
        <f>SUM(JF6:JF25)</f>
        <v>221</v>
      </c>
      <c r="JG26" s="344">
        <f>SUM(JG6:JG25)</f>
        <v>219</v>
      </c>
      <c r="JH26" s="402">
        <f>SUM(JH6:JH25)</f>
        <v>2194071252</v>
      </c>
      <c r="JI26" s="1003">
        <f>'ABDA 3 month Phase II'!L28</f>
        <v>2194550237.8201146</v>
      </c>
      <c r="JJ26" s="403">
        <f t="shared" si="33"/>
        <v>0.99095022624434392</v>
      </c>
      <c r="JK26" s="403">
        <f t="shared" si="34"/>
        <v>1.0002183091454655</v>
      </c>
      <c r="JL26" s="403">
        <f>LC27/LB28</f>
        <v>1.0326303058988464</v>
      </c>
      <c r="JM26" s="404" t="s">
        <v>238</v>
      </c>
      <c r="JN26" s="405"/>
      <c r="JO26" s="406"/>
      <c r="JP26" s="405"/>
      <c r="JQ26" s="192">
        <v>21</v>
      </c>
      <c r="JR26" s="407" t="s">
        <v>71</v>
      </c>
      <c r="JS26" s="408" t="str">
        <f>JM26</f>
        <v>Q3</v>
      </c>
      <c r="JT26" s="409">
        <f t="shared" si="8"/>
        <v>1.0326303058988464</v>
      </c>
      <c r="JU26" s="320">
        <f>SUM(JU6:JU25)</f>
        <v>323903.59259512648</v>
      </c>
      <c r="JV26" s="320">
        <f>SUM(JV6:JV25)</f>
        <v>335442.86620895599</v>
      </c>
      <c r="JW26" s="320">
        <f t="shared" si="9"/>
        <v>242214042</v>
      </c>
      <c r="JX26" s="320">
        <f>SUMPRODUCT('ABDA 3 month Phase II'!HS4:HS27,'ABDA 3 month Phase II'!HX4:HX27)/100</f>
        <v>242164073.01709902</v>
      </c>
      <c r="JY26" s="320">
        <f>SUM(JY6:JY25)</f>
        <v>123895104</v>
      </c>
      <c r="JZ26" s="320">
        <f>SUMPRODUCT('ABDA 3 month Phase II'!JI4:JI27,'ABDA 3 month Phase II'!JK4:JK27)/100</f>
        <v>108693495.22953826</v>
      </c>
      <c r="KA26" s="320">
        <f>SUM(KA6:KA25)</f>
        <v>4786954.6233764458</v>
      </c>
      <c r="KB26" s="320">
        <f>'ABDA 3 month Phase II'!II4*'ABDA 3 month Phase II'!IH4</f>
        <v>4749598.8</v>
      </c>
      <c r="KC26" s="320">
        <f>SUM(JU26,JY26,KA26)</f>
        <v>129005962.21597157</v>
      </c>
      <c r="KD26" s="320">
        <f>SUM(JV26,JZ26,KB26)</f>
        <v>113778536.89574721</v>
      </c>
      <c r="KE26" s="405"/>
      <c r="KF26" s="406"/>
      <c r="KG26" s="405"/>
      <c r="KH26" s="243">
        <f t="shared" si="65"/>
        <v>21</v>
      </c>
      <c r="KI26" s="891">
        <v>20</v>
      </c>
      <c r="KJ26" s="920">
        <f t="shared" si="66"/>
        <v>1</v>
      </c>
      <c r="KK26" s="920">
        <f t="shared" si="66"/>
        <v>1.0002183091454655</v>
      </c>
      <c r="KL26" s="683">
        <v>1.6626666699999999</v>
      </c>
      <c r="KM26" s="794">
        <f t="shared" si="67"/>
        <v>6046545.9953664578</v>
      </c>
      <c r="KN26" s="683">
        <v>1.6626666699999999</v>
      </c>
      <c r="KO26" s="895">
        <f t="shared" si="42"/>
        <v>231972.71185173132</v>
      </c>
      <c r="KP26" s="683">
        <v>1.6626666699999999</v>
      </c>
      <c r="KQ26" s="794">
        <f t="shared" si="43"/>
        <v>2712238.4456101679</v>
      </c>
      <c r="KR26" s="683">
        <v>1.6626666699999999</v>
      </c>
      <c r="KS26" s="895">
        <f t="shared" si="68"/>
        <v>2775970.3621790558</v>
      </c>
      <c r="KT26" s="683">
        <v>1.6626666699999999</v>
      </c>
      <c r="KU26" s="895">
        <f t="shared" si="44"/>
        <v>424439.88185983856</v>
      </c>
      <c r="KV26" s="683">
        <v>1.6626666699999999</v>
      </c>
      <c r="KW26" s="895">
        <f t="shared" si="45"/>
        <v>165612.32322385858</v>
      </c>
      <c r="KX26" s="683">
        <v>1.6626666699999999</v>
      </c>
      <c r="KY26" s="895">
        <f t="shared" si="46"/>
        <v>1314758.6659449369</v>
      </c>
      <c r="KZ26" s="683">
        <v>1.6626666699999999</v>
      </c>
      <c r="LA26" s="794">
        <f t="shared" si="47"/>
        <v>1701133.6717105061</v>
      </c>
      <c r="LB26" s="650">
        <f t="shared" si="48"/>
        <v>14919461.154238256</v>
      </c>
      <c r="LC26" s="650">
        <f t="shared" si="79"/>
        <v>15372672.057746554</v>
      </c>
      <c r="LD26" s="16"/>
      <c r="LE26" s="13"/>
      <c r="LF26" s="12"/>
      <c r="LG26" s="192">
        <v>21</v>
      </c>
      <c r="LH26" s="410" t="s">
        <v>71</v>
      </c>
      <c r="LI26" s="320">
        <f>SUM(LI6:LI25)</f>
        <v>110859956.85656722</v>
      </c>
      <c r="LJ26" s="320">
        <f t="shared" ref="LJ26:LN26" si="117">SUM(LJ6:LJ25)</f>
        <v>129005962.21597156</v>
      </c>
      <c r="LK26" s="321">
        <f t="shared" si="117"/>
        <v>113778536.89574723</v>
      </c>
      <c r="LL26" s="320">
        <f t="shared" si="117"/>
        <v>101285635.0843277</v>
      </c>
      <c r="LM26" s="320">
        <f t="shared" si="117"/>
        <v>106424488.89034146</v>
      </c>
      <c r="LN26" s="321">
        <f t="shared" si="117"/>
        <v>109897152.51796168</v>
      </c>
      <c r="LO26" s="320">
        <f t="shared" si="50"/>
        <v>9574321.7722395211</v>
      </c>
      <c r="LP26" s="320">
        <f t="shared" si="50"/>
        <v>22581473.325630099</v>
      </c>
      <c r="LQ26" s="320">
        <f t="shared" si="50"/>
        <v>3881384.3777855486</v>
      </c>
      <c r="LR26" s="12"/>
      <c r="LS26" s="13"/>
      <c r="LT26" s="12"/>
      <c r="LU26" s="12"/>
      <c r="LV26" s="12"/>
      <c r="LW26" s="12"/>
      <c r="LX26" s="12"/>
      <c r="LY26" s="13"/>
      <c r="LZ26" s="12"/>
      <c r="MA26" s="222">
        <f>MA25+1</f>
        <v>20</v>
      </c>
      <c r="MB26" s="650" t="s">
        <v>239</v>
      </c>
      <c r="MC26" s="650">
        <v>0</v>
      </c>
      <c r="MD26" s="747">
        <f>MC26/$MC$34*100</f>
        <v>0</v>
      </c>
      <c r="ME26" s="934"/>
      <c r="MF26" s="792">
        <f>MC26</f>
        <v>0</v>
      </c>
      <c r="MG26" s="747">
        <f>MF26/$MC$34*100</f>
        <v>0</v>
      </c>
      <c r="MH26" s="12"/>
      <c r="MI26" s="13"/>
      <c r="MJ26" s="12"/>
      <c r="MK26" s="222">
        <f>MK25+1</f>
        <v>20</v>
      </c>
      <c r="ML26" s="650" t="s">
        <v>239</v>
      </c>
      <c r="MM26" s="979">
        <v>0</v>
      </c>
      <c r="MN26" s="650">
        <f>MC26</f>
        <v>0</v>
      </c>
      <c r="MO26" s="650">
        <f t="shared" si="70"/>
        <v>0</v>
      </c>
      <c r="MP26" s="723">
        <f>IFERROR(MO26/MM26,0)</f>
        <v>0</v>
      </c>
      <c r="MQ26" s="12"/>
      <c r="MR26" s="13"/>
      <c r="MS26" s="12"/>
    </row>
    <row r="27" spans="1:357" ht="17.25" thickBot="1" x14ac:dyDescent="0.35">
      <c r="G27" s="411"/>
      <c r="H27" s="411"/>
      <c r="I27" s="411"/>
      <c r="J27" s="411"/>
      <c r="K27" s="462"/>
      <c r="L27" s="462"/>
      <c r="O27" s="411"/>
      <c r="AL27" s="299"/>
      <c r="AN27" s="287"/>
      <c r="AS27" s="19"/>
      <c r="AT27" s="235"/>
      <c r="AV27" s="19"/>
      <c r="AW27" s="235"/>
      <c r="AX27" s="236"/>
      <c r="AZ27" s="19"/>
      <c r="BA27" s="235"/>
      <c r="BB27" s="236"/>
      <c r="BD27" s="19"/>
      <c r="BE27" s="235"/>
      <c r="BF27" s="236"/>
      <c r="BH27" s="19"/>
      <c r="BI27" s="235"/>
      <c r="BJ27" s="236"/>
      <c r="BL27" s="19"/>
      <c r="BM27" s="235"/>
      <c r="BN27" s="236"/>
      <c r="BP27" s="19"/>
      <c r="BQ27" s="235"/>
      <c r="BR27" s="236"/>
      <c r="BT27" s="19"/>
      <c r="BU27" s="235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19"/>
      <c r="CH27" s="236"/>
      <c r="CI27" s="236"/>
      <c r="CJ27" s="236"/>
      <c r="DU27" s="12"/>
      <c r="DV27" s="12"/>
      <c r="DW27" s="12"/>
      <c r="DX27" s="12"/>
      <c r="DY27" s="12"/>
      <c r="ED27" s="382"/>
      <c r="FJ27" s="222">
        <f t="shared" si="78"/>
        <v>22</v>
      </c>
      <c r="FK27" s="242"/>
      <c r="FL27" s="877" t="s">
        <v>240</v>
      </c>
      <c r="FM27" s="650">
        <v>0</v>
      </c>
      <c r="FN27" s="650">
        <v>26629</v>
      </c>
      <c r="FO27" s="650">
        <v>20428.21</v>
      </c>
      <c r="FP27" s="794">
        <f t="shared" si="113"/>
        <v>47057.21</v>
      </c>
      <c r="FQ27" s="650">
        <v>0</v>
      </c>
      <c r="FR27" s="650">
        <v>26629</v>
      </c>
      <c r="FS27" s="650">
        <v>20428.210000000003</v>
      </c>
      <c r="FT27" s="650">
        <v>47057.210000000006</v>
      </c>
      <c r="FU27" s="955">
        <v>47057.210000000006</v>
      </c>
      <c r="FV27" s="16"/>
      <c r="FW27" s="266"/>
      <c r="GZ27" s="412"/>
      <c r="HM27" s="5"/>
      <c r="HN27" s="413">
        <v>22</v>
      </c>
      <c r="HO27" s="414" t="s">
        <v>241</v>
      </c>
      <c r="HP27" s="415"/>
      <c r="HQ27" s="416"/>
      <c r="HR27" s="417">
        <f>HR26/HQ26</f>
        <v>1.029471807734365</v>
      </c>
      <c r="HS27" s="416"/>
      <c r="HT27" s="417">
        <f>HT26/HS26</f>
        <v>1.0411791118080804</v>
      </c>
      <c r="HU27" s="416"/>
      <c r="HV27" s="417">
        <f>HV26/HU26</f>
        <v>1.1683787724296593</v>
      </c>
      <c r="HW27" s="416"/>
      <c r="HX27" s="417">
        <f>HX26/HW26</f>
        <v>1.0625543540356597</v>
      </c>
      <c r="HY27" s="416"/>
      <c r="HZ27" s="418">
        <f>HZ26/HY26</f>
        <v>1.1636840377169007</v>
      </c>
      <c r="IA27" s="419"/>
      <c r="IB27" s="420"/>
      <c r="IC27" s="419"/>
      <c r="ID27" s="421">
        <v>22</v>
      </c>
      <c r="IE27" s="416" t="s">
        <v>241</v>
      </c>
      <c r="IF27" s="422"/>
      <c r="IG27" s="422"/>
      <c r="IH27" s="423"/>
      <c r="II27" s="424">
        <f>II26/IH26</f>
        <v>1.0528675906156677</v>
      </c>
      <c r="IJ27" s="423"/>
      <c r="IK27" s="424">
        <f>IK26/IJ26</f>
        <v>1.0675548502104224</v>
      </c>
      <c r="IL27" s="423"/>
      <c r="IM27" s="424">
        <f>IM26/IL26</f>
        <v>1.0357682629034746</v>
      </c>
      <c r="IN27" s="423"/>
      <c r="IO27" s="424">
        <f>IO26/IN26</f>
        <v>1.0529748375865999</v>
      </c>
      <c r="IP27" s="425"/>
      <c r="IQ27" s="424">
        <f>IQ26/IP26</f>
        <v>1.078384850483356</v>
      </c>
      <c r="IR27" s="425"/>
      <c r="IS27" s="424">
        <f>IS26/IR26</f>
        <v>1.0729737342692001</v>
      </c>
      <c r="IT27" s="423"/>
      <c r="IU27" s="424">
        <f>IU26/IT26</f>
        <v>1.0379647233870271</v>
      </c>
      <c r="IV27" s="423"/>
      <c r="IW27" s="424">
        <f>IW26/IV26</f>
        <v>1.058346075702767</v>
      </c>
      <c r="IX27" s="425"/>
      <c r="IY27" s="426">
        <f>IY26/IX26</f>
        <v>1.0507362549658228</v>
      </c>
      <c r="IZ27" s="426"/>
      <c r="JA27" s="236"/>
      <c r="JB27" s="299"/>
      <c r="JH27" s="235"/>
      <c r="JO27" s="427"/>
      <c r="JP27" s="428"/>
      <c r="JQ27" s="429">
        <v>22</v>
      </c>
      <c r="JR27" s="430" t="s">
        <v>242</v>
      </c>
      <c r="JS27" s="430"/>
      <c r="JT27" s="430"/>
      <c r="JU27" s="425"/>
      <c r="JV27" s="431">
        <f>JV26/JU26</f>
        <v>1.0356256425604189</v>
      </c>
      <c r="JW27" s="423"/>
      <c r="JX27" s="431">
        <f>JX26/JW26</f>
        <v>0.99979369906679083</v>
      </c>
      <c r="JY27" s="423"/>
      <c r="JZ27" s="431">
        <f>JZ26/JY26</f>
        <v>0.87730258678775763</v>
      </c>
      <c r="KA27" s="432"/>
      <c r="KB27" s="432">
        <f>KB26/KA26</f>
        <v>0.99219632808006497</v>
      </c>
      <c r="KC27" s="423"/>
      <c r="KD27" s="432">
        <f>KD26/KC26</f>
        <v>0.88196339875569618</v>
      </c>
      <c r="KE27" s="428"/>
      <c r="KF27" s="427"/>
      <c r="KG27" s="428"/>
      <c r="KH27" s="433">
        <f t="shared" si="65"/>
        <v>22</v>
      </c>
      <c r="KI27" s="434" t="s">
        <v>71</v>
      </c>
      <c r="KJ27" s="435">
        <f t="shared" si="66"/>
        <v>0.99095022624434392</v>
      </c>
      <c r="KK27" s="435">
        <f t="shared" si="66"/>
        <v>1.0002183091454655</v>
      </c>
      <c r="KL27" s="436"/>
      <c r="KM27" s="437">
        <f>SUM(KM7:KM26)</f>
        <v>40079129.41740948</v>
      </c>
      <c r="KN27" s="438"/>
      <c r="KO27" s="439">
        <f>SUM(KO7:KO26)</f>
        <v>1994337.7399035022</v>
      </c>
      <c r="KP27" s="440"/>
      <c r="KQ27" s="437">
        <f>SUM(KQ7:KQ26)</f>
        <v>19173425.776259005</v>
      </c>
      <c r="KR27" s="441"/>
      <c r="KS27" s="439">
        <f>SUM(KS7:KS26)</f>
        <v>25073716.728897151</v>
      </c>
      <c r="KT27" s="442"/>
      <c r="KU27" s="439">
        <f>SUM(KU7:KU26)</f>
        <v>2487111.8005300453</v>
      </c>
      <c r="KV27" s="442"/>
      <c r="KW27" s="439">
        <f>SUM(KW7:KW26)</f>
        <v>1545196.1793928032</v>
      </c>
      <c r="KX27" s="442"/>
      <c r="KY27" s="439">
        <f>SUM(KY7:KY26)</f>
        <v>6372039.7741681812</v>
      </c>
      <c r="KZ27" s="442"/>
      <c r="LA27" s="437">
        <f>SUM(LA7:LA26)</f>
        <v>13172195.101401502</v>
      </c>
      <c r="LB27" s="439"/>
      <c r="LC27" s="439">
        <f>KM27+KO27+KQ27+KS27+KY27+LA27+KU27+KW27</f>
        <v>109897152.51796167</v>
      </c>
      <c r="LD27" s="16"/>
      <c r="LE27" s="443"/>
      <c r="LG27" s="5"/>
      <c r="LI27" s="953" t="s">
        <v>243</v>
      </c>
      <c r="LJ27" s="444"/>
      <c r="LK27" s="204"/>
      <c r="LL27" s="204"/>
      <c r="LM27" s="204"/>
      <c r="LN27" s="204"/>
      <c r="LO27" s="204"/>
      <c r="LP27" s="204"/>
      <c r="MA27" s="312">
        <f>MA26+1</f>
        <v>21</v>
      </c>
      <c r="MB27" s="935" t="s">
        <v>244</v>
      </c>
      <c r="MC27" s="935">
        <v>0</v>
      </c>
      <c r="MD27" s="936">
        <f>MC27/$MC$34*100</f>
        <v>0</v>
      </c>
      <c r="ME27" s="803"/>
      <c r="MF27" s="937">
        <f>MC27</f>
        <v>0</v>
      </c>
      <c r="MG27" s="936">
        <f>MF27/$MC$34*100</f>
        <v>0</v>
      </c>
      <c r="MK27" s="312">
        <f>MK26+1</f>
        <v>21</v>
      </c>
      <c r="ML27" s="935" t="s">
        <v>244</v>
      </c>
      <c r="MM27" s="980">
        <v>0</v>
      </c>
      <c r="MN27" s="935">
        <v>0</v>
      </c>
      <c r="MO27" s="935">
        <f t="shared" si="70"/>
        <v>0</v>
      </c>
      <c r="MP27" s="944">
        <f>IFERROR(MO27/MM27,0)</f>
        <v>0</v>
      </c>
    </row>
    <row r="28" spans="1:357" s="29" customFormat="1" ht="17.25" thickBot="1" x14ac:dyDescent="0.35">
      <c r="A28" s="12"/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11"/>
      <c r="P28" s="12"/>
      <c r="Q28" s="12"/>
      <c r="R28" s="12"/>
      <c r="S28" s="12"/>
      <c r="T28" s="13"/>
      <c r="U28" s="12"/>
      <c r="V28" s="12"/>
      <c r="W28" s="12"/>
      <c r="X28" s="12"/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299"/>
      <c r="AM28" s="12"/>
      <c r="AN28" s="287"/>
      <c r="AO28" s="12"/>
      <c r="AP28" s="12"/>
      <c r="AQ28" s="12"/>
      <c r="AR28" s="12"/>
      <c r="AS28" s="19"/>
      <c r="AT28" s="235"/>
      <c r="AU28" s="12"/>
      <c r="AV28" s="19"/>
      <c r="AW28" s="235"/>
      <c r="AX28" s="236"/>
      <c r="AY28" s="12"/>
      <c r="AZ28" s="19"/>
      <c r="BA28" s="235"/>
      <c r="BB28" s="236"/>
      <c r="BC28" s="12"/>
      <c r="BD28" s="19"/>
      <c r="BE28" s="235"/>
      <c r="BF28" s="236"/>
      <c r="BG28" s="12"/>
      <c r="BH28" s="19"/>
      <c r="BI28" s="235"/>
      <c r="BJ28" s="236"/>
      <c r="BK28" s="12"/>
      <c r="BL28" s="19"/>
      <c r="BM28" s="235"/>
      <c r="BN28" s="236"/>
      <c r="BO28" s="12"/>
      <c r="BP28" s="19"/>
      <c r="BQ28" s="235"/>
      <c r="BR28" s="236"/>
      <c r="BS28" s="12"/>
      <c r="BT28" s="19"/>
      <c r="BU28" s="235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19"/>
      <c r="CG28" s="12"/>
      <c r="CH28" s="236"/>
      <c r="CI28" s="236"/>
      <c r="CJ28" s="236"/>
      <c r="CK28" s="12"/>
      <c r="CL28" s="13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3"/>
      <c r="CZ28" s="12"/>
      <c r="DA28" s="12"/>
      <c r="DB28" s="12"/>
      <c r="DC28" s="12"/>
      <c r="DD28" s="16"/>
      <c r="DE28" s="12"/>
      <c r="DF28" s="12"/>
      <c r="DG28" s="12"/>
      <c r="DH28" s="12"/>
      <c r="DI28" s="13"/>
      <c r="DJ28" s="12"/>
      <c r="DK28" s="12"/>
      <c r="DL28" s="12"/>
      <c r="DM28" s="12"/>
      <c r="DN28" s="16"/>
      <c r="DO28" s="12"/>
      <c r="DP28" s="12"/>
      <c r="DQ28" s="12"/>
      <c r="DR28" s="13"/>
      <c r="DS28" s="12"/>
      <c r="DT28" s="12"/>
      <c r="DU28" s="17"/>
      <c r="DV28" s="18"/>
      <c r="DW28" s="18"/>
      <c r="DX28" s="18"/>
      <c r="DY28" s="18"/>
      <c r="DZ28" s="12"/>
      <c r="EA28" s="12"/>
      <c r="EB28" s="12"/>
      <c r="EC28" s="12"/>
      <c r="ED28" s="12"/>
      <c r="EE28" s="13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3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3"/>
      <c r="FI28" s="12"/>
      <c r="FJ28" s="383">
        <f t="shared" si="78"/>
        <v>23</v>
      </c>
      <c r="FK28" s="384"/>
      <c r="FL28" s="882" t="s">
        <v>245</v>
      </c>
      <c r="FM28" s="880">
        <v>59179</v>
      </c>
      <c r="FN28" s="880">
        <v>53103</v>
      </c>
      <c r="FO28" s="880">
        <v>52452</v>
      </c>
      <c r="FP28" s="881">
        <f t="shared" si="113"/>
        <v>164734</v>
      </c>
      <c r="FQ28" s="880">
        <v>0</v>
      </c>
      <c r="FR28" s="880">
        <v>0</v>
      </c>
      <c r="FS28" s="880">
        <v>0</v>
      </c>
      <c r="FT28" s="880">
        <v>0</v>
      </c>
      <c r="FU28" s="955">
        <v>0</v>
      </c>
      <c r="FV28" s="16"/>
      <c r="FW28" s="266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3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3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401"/>
      <c r="HM28" s="12"/>
      <c r="HN28" s="12"/>
      <c r="HO28" s="12"/>
      <c r="HP28" s="12"/>
      <c r="HQ28" s="12"/>
      <c r="HR28" s="12"/>
      <c r="HS28" s="12"/>
      <c r="HT28" s="12" t="s">
        <v>426</v>
      </c>
      <c r="HU28" s="12"/>
      <c r="HV28" s="12"/>
      <c r="HW28" s="12"/>
      <c r="HX28" s="12"/>
      <c r="HY28" s="12"/>
      <c r="HZ28" s="12"/>
      <c r="IA28" s="12"/>
      <c r="IB28" s="13"/>
      <c r="IC28" s="12"/>
      <c r="ID28" s="12"/>
      <c r="IE28" s="12"/>
      <c r="IF28" s="12"/>
      <c r="IG28" s="12"/>
      <c r="IH28" s="12"/>
      <c r="II28" s="12"/>
      <c r="IJ28" s="12"/>
      <c r="IK28" s="411"/>
      <c r="IL28" s="12"/>
      <c r="IM28" s="411"/>
      <c r="IN28" s="12"/>
      <c r="IO28" s="462"/>
      <c r="IP28" s="12"/>
      <c r="IQ28" s="12"/>
      <c r="IR28" s="12"/>
      <c r="IS28" s="12"/>
      <c r="IT28" s="12"/>
      <c r="IU28" s="12"/>
      <c r="IV28" s="12"/>
      <c r="IW28" s="12"/>
      <c r="IX28" s="952" t="s">
        <v>246</v>
      </c>
      <c r="IY28" s="12"/>
      <c r="IZ28" s="12"/>
      <c r="JA28" s="12"/>
      <c r="JB28" s="13"/>
      <c r="JC28" s="12"/>
      <c r="JD28" s="12"/>
      <c r="JE28" s="12"/>
      <c r="JF28" s="12"/>
      <c r="JG28" s="12"/>
      <c r="JH28" s="12"/>
      <c r="JI28" s="12" t="s">
        <v>433</v>
      </c>
      <c r="JJ28" s="12"/>
      <c r="JK28" s="12"/>
      <c r="JL28" s="12"/>
      <c r="JM28" s="12"/>
      <c r="JN28" s="12"/>
      <c r="JO28" s="445"/>
      <c r="JP28" s="446"/>
      <c r="JQ28" s="12"/>
      <c r="JR28" s="12"/>
      <c r="JS28" s="12"/>
      <c r="JT28" s="12"/>
      <c r="JU28" s="12"/>
      <c r="JV28" s="12"/>
      <c r="JW28" s="12"/>
      <c r="JX28" s="1006" t="s">
        <v>435</v>
      </c>
      <c r="JY28" s="12"/>
      <c r="JZ28" s="12"/>
      <c r="KA28" s="12"/>
      <c r="KB28" s="12"/>
      <c r="KC28" s="446"/>
      <c r="KD28" s="446"/>
      <c r="KE28" s="446"/>
      <c r="KF28" s="445"/>
      <c r="KG28" s="446"/>
      <c r="KH28" s="447">
        <f t="shared" si="65"/>
        <v>23</v>
      </c>
      <c r="KI28" s="430" t="s">
        <v>242</v>
      </c>
      <c r="KJ28" s="448"/>
      <c r="KK28" s="449"/>
      <c r="KL28" s="450">
        <f>II26</f>
        <v>38759425.026482746</v>
      </c>
      <c r="KM28" s="431">
        <f>KM27/KL28</f>
        <v>1.0340486059848677</v>
      </c>
      <c r="KN28" s="450">
        <f>IK26</f>
        <v>1927835.2228029165</v>
      </c>
      <c r="KO28" s="431">
        <f>KO27/KN28</f>
        <v>1.0344959550038184</v>
      </c>
      <c r="KP28" s="450">
        <f>IM26</f>
        <v>18604918.663317382</v>
      </c>
      <c r="KQ28" s="431">
        <f>KQ27/KP28</f>
        <v>1.0305568179699989</v>
      </c>
      <c r="KR28" s="451">
        <f>IO26</f>
        <v>24327750.680698965</v>
      </c>
      <c r="KS28" s="431">
        <f>KS27/IO26</f>
        <v>1.0306631738375227</v>
      </c>
      <c r="KT28" s="450">
        <f>IQ26</f>
        <v>2404636.0465707122</v>
      </c>
      <c r="KU28" s="431">
        <f>KU27/KT28</f>
        <v>1.034298643271589</v>
      </c>
      <c r="KV28" s="450">
        <f>IS26</f>
        <v>1494191.7007989204</v>
      </c>
      <c r="KW28" s="431">
        <f>KW27/KV28</f>
        <v>1.0341351638926997</v>
      </c>
      <c r="KX28" s="450">
        <f>IU26</f>
        <v>6168270.1152246939</v>
      </c>
      <c r="KY28" s="431">
        <f>KY27/KX28</f>
        <v>1.0330351387239896</v>
      </c>
      <c r="KZ28" s="450">
        <f>IW26</f>
        <v>12737461.434445117</v>
      </c>
      <c r="LA28" s="431">
        <f>LA27/KZ28</f>
        <v>1.034130322528849</v>
      </c>
      <c r="LB28" s="450">
        <f>IY26</f>
        <v>106424488.89034145</v>
      </c>
      <c r="LC28" s="432">
        <f>LC27/LB28</f>
        <v>1.0326303058988464</v>
      </c>
      <c r="LD28" s="452"/>
      <c r="LE28" s="13"/>
      <c r="LF28" s="12"/>
      <c r="LG28" s="12"/>
      <c r="LH28" s="12"/>
      <c r="LI28" s="355">
        <f>LI26-LL26</f>
        <v>9574321.7722395211</v>
      </c>
      <c r="LJ28" s="355">
        <f>LJ26-LM26</f>
        <v>22581473.325630099</v>
      </c>
      <c r="LK28" s="355">
        <f>LK26-LN26</f>
        <v>3881384.3777855486</v>
      </c>
      <c r="LL28" s="12"/>
      <c r="LM28" s="12"/>
      <c r="LN28" s="12"/>
      <c r="LO28" s="12"/>
      <c r="LP28" s="12"/>
      <c r="LQ28" s="12"/>
      <c r="LR28" s="12"/>
      <c r="LS28" s="13"/>
      <c r="LT28" s="12"/>
      <c r="LU28" s="12"/>
      <c r="LV28" s="12"/>
      <c r="LW28" s="12"/>
      <c r="LX28" s="12"/>
      <c r="LY28" s="13"/>
      <c r="LZ28" s="12"/>
      <c r="MA28" s="222">
        <f t="shared" ref="MA28:MA31" si="118">MA27+1</f>
        <v>22</v>
      </c>
      <c r="MB28" s="453" t="s">
        <v>247</v>
      </c>
      <c r="MC28" s="454">
        <f>SUM(MC25:MC27)</f>
        <v>129618891.82735759</v>
      </c>
      <c r="MD28" s="455">
        <f>MC28/$MC$34*100</f>
        <v>5.906398932845133</v>
      </c>
      <c r="ME28" s="307"/>
      <c r="MF28" s="456">
        <f>SUM(MF25:MF27)</f>
        <v>129618891.82735759</v>
      </c>
      <c r="MG28" s="455">
        <f>MF28/$MC$34*100</f>
        <v>5.906398932845133</v>
      </c>
      <c r="MH28" s="12"/>
      <c r="MI28" s="13"/>
      <c r="MJ28" s="12"/>
      <c r="MK28" s="222">
        <f t="shared" ref="MK28:MK32" si="119">MK27+1</f>
        <v>22</v>
      </c>
      <c r="ML28" s="453" t="s">
        <v>247</v>
      </c>
      <c r="MM28" s="984">
        <v>112402506.16203304</v>
      </c>
      <c r="MN28" s="454">
        <f>MN25+MN26+MN27</f>
        <v>129618891.82735759</v>
      </c>
      <c r="MO28" s="309">
        <f t="shared" si="70"/>
        <v>17216385.665324554</v>
      </c>
      <c r="MP28" s="723">
        <f t="shared" si="71"/>
        <v>0.1531672758301883</v>
      </c>
      <c r="MQ28" s="12"/>
      <c r="MR28" s="13"/>
      <c r="MS28" s="12"/>
    </row>
    <row r="29" spans="1:357" ht="16.5" x14ac:dyDescent="0.3"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AL29" s="299"/>
      <c r="AN29" s="287"/>
      <c r="AS29" s="19"/>
      <c r="AT29" s="235"/>
      <c r="AV29" s="19"/>
      <c r="AW29" s="235"/>
      <c r="AX29" s="236"/>
      <c r="AZ29" s="19"/>
      <c r="BA29" s="235"/>
      <c r="BB29" s="236"/>
      <c r="BD29" s="19"/>
      <c r="BE29" s="235"/>
      <c r="BF29" s="236"/>
      <c r="BH29" s="19"/>
      <c r="BI29" s="235"/>
      <c r="BJ29" s="236"/>
      <c r="BL29" s="19"/>
      <c r="BM29" s="235"/>
      <c r="BN29" s="236"/>
      <c r="BP29" s="19"/>
      <c r="BQ29" s="235"/>
      <c r="BR29" s="236"/>
      <c r="BT29" s="19"/>
      <c r="BU29" s="235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19"/>
      <c r="CH29" s="236"/>
      <c r="CI29" s="236"/>
      <c r="CJ29" s="236"/>
      <c r="FJ29" s="222">
        <f t="shared" si="78"/>
        <v>24</v>
      </c>
      <c r="FK29" s="242"/>
      <c r="FL29" s="877" t="s">
        <v>248</v>
      </c>
      <c r="FM29" s="650">
        <v>10863</v>
      </c>
      <c r="FN29" s="650">
        <v>82972.12999999999</v>
      </c>
      <c r="FO29" s="650">
        <v>103206.25</v>
      </c>
      <c r="FP29" s="794">
        <f t="shared" si="113"/>
        <v>197041.38</v>
      </c>
      <c r="FQ29" s="650">
        <v>10863</v>
      </c>
      <c r="FR29" s="650">
        <v>82972.12999999999</v>
      </c>
      <c r="FS29" s="650">
        <v>103206.25</v>
      </c>
      <c r="FT29" s="650">
        <v>197041.38</v>
      </c>
      <c r="FU29" s="955">
        <v>197041.38</v>
      </c>
      <c r="FV29" s="16"/>
      <c r="FW29" s="266"/>
      <c r="IK29" s="12"/>
      <c r="IN29" s="411"/>
      <c r="IO29" s="462"/>
      <c r="IX29" s="952" t="s">
        <v>249</v>
      </c>
      <c r="IZ29" s="236"/>
      <c r="JA29" s="236"/>
      <c r="JB29" s="299"/>
      <c r="JO29" s="445"/>
      <c r="JP29" s="446"/>
      <c r="JQ29" s="446"/>
      <c r="JR29" s="446"/>
      <c r="JS29" s="446"/>
      <c r="JT29" s="446"/>
      <c r="JU29" s="446"/>
      <c r="JW29" s="446"/>
      <c r="JX29" s="457"/>
      <c r="JY29" s="446"/>
      <c r="JZ29" s="457"/>
      <c r="KA29" s="457"/>
      <c r="KB29" s="457"/>
      <c r="KC29" s="446"/>
      <c r="KD29" s="446"/>
      <c r="KE29" s="446"/>
      <c r="KF29" s="445"/>
      <c r="KG29" s="446"/>
      <c r="KM29" s="236"/>
      <c r="KO29" s="236"/>
      <c r="KQ29" s="236"/>
      <c r="KR29" s="12"/>
      <c r="KU29" s="236"/>
      <c r="KV29" s="236"/>
      <c r="KW29" s="236"/>
      <c r="KY29" s="236"/>
      <c r="LA29" s="236"/>
      <c r="LC29" s="236"/>
      <c r="LD29" s="411"/>
      <c r="MA29" s="192">
        <f t="shared" si="118"/>
        <v>23</v>
      </c>
      <c r="MB29" s="291" t="s">
        <v>250</v>
      </c>
      <c r="MC29" s="458">
        <f>MC11</f>
        <v>4749598.8</v>
      </c>
      <c r="MD29" s="331">
        <f t="shared" ref="MD29" si="120">MC29/$MC$34*100</f>
        <v>0.2164269798042017</v>
      </c>
      <c r="ME29" s="458">
        <f t="shared" ref="ME29:MF29" si="121">ME11</f>
        <v>0</v>
      </c>
      <c r="MF29" s="459">
        <f t="shared" si="121"/>
        <v>4749598.8</v>
      </c>
      <c r="MG29" s="331">
        <f t="shared" ref="MG29" si="122">MF29/$MC$34*100</f>
        <v>0.2164269798042017</v>
      </c>
      <c r="MK29" s="192">
        <f t="shared" si="119"/>
        <v>23</v>
      </c>
      <c r="ML29" s="291" t="s">
        <v>250</v>
      </c>
      <c r="MM29" s="984">
        <v>4758928.0499999989</v>
      </c>
      <c r="MN29" s="458">
        <f>MC29</f>
        <v>4749598.8</v>
      </c>
      <c r="MO29" s="320">
        <f t="shared" si="70"/>
        <v>-9329.2499999990687</v>
      </c>
      <c r="MP29" s="802">
        <f t="shared" si="71"/>
        <v>-1.9603679446254857E-3</v>
      </c>
    </row>
    <row r="30" spans="1:357" s="29" customFormat="1" ht="16.5" x14ac:dyDescent="0.3">
      <c r="A30" s="12"/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11"/>
      <c r="P30" s="12"/>
      <c r="Q30" s="12"/>
      <c r="R30" s="12"/>
      <c r="S30" s="12"/>
      <c r="T30" s="13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/>
      <c r="AF30" s="12"/>
      <c r="AG30" s="12"/>
      <c r="AH30" s="12"/>
      <c r="AI30" s="12"/>
      <c r="AJ30" s="12"/>
      <c r="AK30" s="12"/>
      <c r="AL30" s="299"/>
      <c r="AM30" s="12"/>
      <c r="AN30" s="287"/>
      <c r="AO30" s="12"/>
      <c r="AP30" s="12"/>
      <c r="AQ30" s="12"/>
      <c r="AR30" s="12"/>
      <c r="AS30" s="19"/>
      <c r="AT30" s="235"/>
      <c r="AU30" s="12"/>
      <c r="AV30" s="19"/>
      <c r="AW30" s="235"/>
      <c r="AX30" s="236"/>
      <c r="AY30" s="12"/>
      <c r="AZ30" s="19"/>
      <c r="BA30" s="235"/>
      <c r="BB30" s="236"/>
      <c r="BC30" s="12"/>
      <c r="BD30" s="19"/>
      <c r="BE30" s="235"/>
      <c r="BF30" s="236"/>
      <c r="BG30" s="12"/>
      <c r="BH30" s="19"/>
      <c r="BI30" s="235"/>
      <c r="BJ30" s="236"/>
      <c r="BK30" s="12"/>
      <c r="BL30" s="19"/>
      <c r="BM30" s="235"/>
      <c r="BN30" s="236"/>
      <c r="BO30" s="12"/>
      <c r="BP30" s="19"/>
      <c r="BQ30" s="235"/>
      <c r="BR30" s="236"/>
      <c r="BS30" s="12"/>
      <c r="BT30" s="19"/>
      <c r="BU30" s="235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19"/>
      <c r="CG30" s="12"/>
      <c r="CH30" s="236"/>
      <c r="CI30" s="236"/>
      <c r="CJ30" s="236"/>
      <c r="CK30" s="12"/>
      <c r="CL30" s="13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3"/>
      <c r="CZ30" s="12"/>
      <c r="DA30" s="12"/>
      <c r="DB30" s="12"/>
      <c r="DC30" s="12"/>
      <c r="DD30" s="16"/>
      <c r="DE30" s="12"/>
      <c r="DF30" s="12"/>
      <c r="DG30" s="12"/>
      <c r="DH30" s="12"/>
      <c r="DI30" s="13"/>
      <c r="DJ30" s="12"/>
      <c r="DK30" s="12"/>
      <c r="DL30" s="12"/>
      <c r="DM30" s="12"/>
      <c r="DN30" s="16"/>
      <c r="DO30" s="12"/>
      <c r="DP30" s="12"/>
      <c r="DQ30" s="12"/>
      <c r="DR30" s="13"/>
      <c r="DS30" s="12"/>
      <c r="DT30" s="12"/>
      <c r="DU30" s="17"/>
      <c r="DV30" s="18"/>
      <c r="DW30" s="18"/>
      <c r="DX30" s="18"/>
      <c r="DY30" s="18"/>
      <c r="DZ30" s="12"/>
      <c r="EA30" s="12"/>
      <c r="EB30" s="12"/>
      <c r="EC30" s="12"/>
      <c r="ED30" s="12"/>
      <c r="EE30" s="13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3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3"/>
      <c r="FI30" s="12"/>
      <c r="FJ30" s="383">
        <f t="shared" si="78"/>
        <v>25</v>
      </c>
      <c r="FK30" s="384"/>
      <c r="FL30" s="882" t="s">
        <v>251</v>
      </c>
      <c r="FM30" s="880">
        <v>400444.33639999997</v>
      </c>
      <c r="FN30" s="880">
        <v>248442.43</v>
      </c>
      <c r="FO30" s="880">
        <v>370902.63</v>
      </c>
      <c r="FP30" s="881">
        <f t="shared" si="113"/>
        <v>1019789.3964</v>
      </c>
      <c r="FQ30" s="880">
        <v>400453.42730909091</v>
      </c>
      <c r="FR30" s="880">
        <v>248442.43000000002</v>
      </c>
      <c r="FS30" s="880">
        <v>370902.63</v>
      </c>
      <c r="FT30" s="880">
        <v>1019798.487309091</v>
      </c>
      <c r="FU30" s="955">
        <v>1019798.487309091</v>
      </c>
      <c r="FV30" s="16"/>
      <c r="FW30" s="266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3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3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3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3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46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3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445"/>
      <c r="JP30" s="446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446"/>
      <c r="KF30" s="445"/>
      <c r="KG30" s="446"/>
      <c r="KH30" s="189"/>
      <c r="KI30" s="189"/>
      <c r="KJ30" s="189"/>
      <c r="KK30" s="189"/>
      <c r="KL30" s="189"/>
      <c r="KM30" s="460"/>
      <c r="KN30" s="460"/>
      <c r="KO30" s="461"/>
      <c r="KP30" s="189"/>
      <c r="KQ30" s="461"/>
      <c r="KR30" s="12"/>
      <c r="KS30" s="12"/>
      <c r="KT30" s="12"/>
      <c r="KU30" s="12"/>
      <c r="KV30" s="12"/>
      <c r="KW30" s="12"/>
      <c r="KX30" s="16"/>
      <c r="KY30" s="12"/>
      <c r="KZ30" s="12"/>
      <c r="LA30" s="12"/>
      <c r="LB30" s="12"/>
      <c r="LC30" s="12"/>
      <c r="LD30" s="411"/>
      <c r="LE30" s="13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3"/>
      <c r="LT30" s="12"/>
      <c r="LU30" s="12"/>
      <c r="LV30" s="12"/>
      <c r="LW30" s="12"/>
      <c r="LX30" s="12"/>
      <c r="LY30" s="13"/>
      <c r="LZ30" s="12"/>
      <c r="MA30" s="222">
        <f t="shared" si="118"/>
        <v>24</v>
      </c>
      <c r="MB30" s="453" t="s">
        <v>252</v>
      </c>
      <c r="MC30" s="454">
        <f>MC28-MC29</f>
        <v>124869293.02735759</v>
      </c>
      <c r="MD30" s="455">
        <f>MC30/$MC$34*100</f>
        <v>5.6899719530409323</v>
      </c>
      <c r="ME30" s="307"/>
      <c r="MF30" s="456">
        <f>MF28-MF29</f>
        <v>124869293.02735759</v>
      </c>
      <c r="MG30" s="455">
        <f>MF30/$MC$34*100</f>
        <v>5.6899719530409323</v>
      </c>
      <c r="MH30" s="12"/>
      <c r="MI30" s="13"/>
      <c r="MJ30" s="12"/>
      <c r="MK30" s="222">
        <f t="shared" si="119"/>
        <v>24</v>
      </c>
      <c r="ML30" s="453" t="s">
        <v>252</v>
      </c>
      <c r="MM30" s="984">
        <v>107643578.11203304</v>
      </c>
      <c r="MN30" s="454">
        <f>MC30</f>
        <v>124869293.02735759</v>
      </c>
      <c r="MO30" s="309">
        <f t="shared" si="70"/>
        <v>17225714.915324554</v>
      </c>
      <c r="MP30" s="723">
        <f t="shared" si="71"/>
        <v>0.16002547683240717</v>
      </c>
      <c r="MQ30" s="12"/>
      <c r="MR30" s="13"/>
      <c r="MS30" s="12"/>
    </row>
    <row r="31" spans="1:357" ht="16.5" customHeight="1" x14ac:dyDescent="0.3"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AL31" s="299"/>
      <c r="AN31" s="379"/>
      <c r="AO31" s="380"/>
      <c r="AQ31" s="15"/>
      <c r="AT31" s="381"/>
      <c r="AU31" s="15"/>
      <c r="AW31" s="381"/>
      <c r="AX31" s="381"/>
      <c r="AY31" s="15"/>
      <c r="BA31" s="381"/>
      <c r="BB31" s="381"/>
      <c r="BC31" s="15"/>
      <c r="BE31" s="381"/>
      <c r="BF31" s="381"/>
      <c r="BG31" s="15"/>
      <c r="BI31" s="381"/>
      <c r="BJ31" s="381"/>
      <c r="BK31" s="15"/>
      <c r="BM31" s="381"/>
      <c r="BN31" s="381"/>
      <c r="BO31" s="15"/>
      <c r="BQ31" s="381"/>
      <c r="BR31" s="381"/>
      <c r="BS31" s="15"/>
      <c r="BU31" s="381"/>
      <c r="BV31" s="381"/>
      <c r="BW31" s="381"/>
      <c r="BX31" s="381"/>
      <c r="BY31" s="381"/>
      <c r="BZ31" s="381"/>
      <c r="CA31" s="381"/>
      <c r="CB31" s="381"/>
      <c r="CC31" s="381"/>
      <c r="CD31" s="381"/>
      <c r="CE31" s="381"/>
      <c r="CG31" s="381"/>
      <c r="CH31" s="381"/>
      <c r="CI31" s="381"/>
      <c r="CJ31" s="381"/>
      <c r="FJ31" s="293">
        <f t="shared" si="78"/>
        <v>26</v>
      </c>
      <c r="FK31" s="463"/>
      <c r="FL31" s="464" t="s">
        <v>221</v>
      </c>
      <c r="FM31" s="309">
        <f>SUM(FM26:FM30)</f>
        <v>969903.95640000002</v>
      </c>
      <c r="FN31" s="309">
        <f>SUM(FN26:FN30)</f>
        <v>452578.26999999996</v>
      </c>
      <c r="FO31" s="309">
        <f>SUM(FO26:FO30)</f>
        <v>812371.4</v>
      </c>
      <c r="FP31" s="325">
        <f t="shared" si="113"/>
        <v>2234853.6264</v>
      </c>
      <c r="FQ31" s="309">
        <v>910734.04730909085</v>
      </c>
      <c r="FR31" s="309">
        <v>399475.27</v>
      </c>
      <c r="FS31" s="309">
        <v>759919.4</v>
      </c>
      <c r="FT31" s="309">
        <v>2070128.717309091</v>
      </c>
      <c r="FU31" s="971">
        <v>2070128.717309091</v>
      </c>
      <c r="FV31" s="16"/>
      <c r="FW31" s="266"/>
      <c r="IK31" s="12"/>
      <c r="IM31" s="12"/>
      <c r="IO31" s="462"/>
      <c r="KO31" s="12"/>
      <c r="KQ31" s="12"/>
      <c r="KR31" s="12"/>
      <c r="LD31" s="411"/>
      <c r="MA31" s="192">
        <f t="shared" si="118"/>
        <v>25</v>
      </c>
      <c r="MB31" s="935" t="s">
        <v>253</v>
      </c>
      <c r="MC31" s="935">
        <f>'ABDA 3 month Phase I'!JV26+'ABDA 3 month Phase I'!JZ26+MC11</f>
        <v>113778536.89574721</v>
      </c>
      <c r="MD31" s="936">
        <f>MC31/$MC$34*100</f>
        <v>5.1845947718547301</v>
      </c>
      <c r="ME31" s="796"/>
      <c r="MF31" s="937"/>
      <c r="MG31" s="466"/>
      <c r="MK31" s="312">
        <f>MK30+1</f>
        <v>25</v>
      </c>
      <c r="ML31" s="935" t="str">
        <f>MB31</f>
        <v>Total Revenue at Current Rates</v>
      </c>
      <c r="MM31" s="980">
        <v>136637688.37609816</v>
      </c>
      <c r="MN31" s="935">
        <f>MC31</f>
        <v>113778536.89574721</v>
      </c>
      <c r="MO31" s="935">
        <f t="shared" si="70"/>
        <v>-22859151.480350941</v>
      </c>
      <c r="MP31" s="944">
        <f t="shared" si="71"/>
        <v>-0.16729755715297701</v>
      </c>
    </row>
    <row r="32" spans="1:357" ht="16.5" x14ac:dyDescent="0.3"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AL32" s="299"/>
      <c r="AN32" s="287"/>
      <c r="AT32" s="467"/>
      <c r="AW32" s="467"/>
      <c r="AX32" s="236"/>
      <c r="BA32" s="467"/>
      <c r="BB32" s="236"/>
      <c r="BE32" s="467"/>
      <c r="BF32" s="236"/>
      <c r="BI32" s="467"/>
      <c r="BJ32" s="236"/>
      <c r="BM32" s="467"/>
      <c r="BN32" s="236"/>
      <c r="BQ32" s="467"/>
      <c r="BR32" s="236"/>
      <c r="BU32" s="467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G32" s="467"/>
      <c r="CH32" s="236"/>
      <c r="CI32" s="236"/>
      <c r="CJ32" s="236"/>
      <c r="FJ32" s="383">
        <f t="shared" si="78"/>
        <v>27</v>
      </c>
      <c r="FK32" s="468" t="s">
        <v>254</v>
      </c>
      <c r="FL32" s="469"/>
      <c r="FM32" s="470"/>
      <c r="FN32" s="470"/>
      <c r="FO32" s="470"/>
      <c r="FP32" s="471"/>
      <c r="FQ32" s="470"/>
      <c r="FR32" s="470"/>
      <c r="FS32" s="470"/>
      <c r="FT32" s="470"/>
      <c r="FU32" s="470"/>
      <c r="FV32" s="16"/>
      <c r="FW32" s="266"/>
      <c r="IK32" s="12"/>
      <c r="IM32" s="12"/>
      <c r="IO32" s="462"/>
      <c r="JP32" s="189"/>
      <c r="KE32" s="189"/>
      <c r="KF32" s="472"/>
      <c r="KG32" s="189"/>
      <c r="KO32" s="12"/>
      <c r="KQ32" s="12"/>
      <c r="KR32" s="12"/>
      <c r="LD32" s="236"/>
      <c r="MA32" s="293">
        <f>MA31+1</f>
        <v>26</v>
      </c>
      <c r="MB32" s="938" t="s">
        <v>255</v>
      </c>
      <c r="MC32" s="938">
        <f>MC30/MC9-1</f>
        <v>0.14882029291319943</v>
      </c>
      <c r="MD32" s="938"/>
      <c r="ME32" s="839"/>
      <c r="MF32" s="939">
        <f>(MF9)/MF30-1</f>
        <v>0</v>
      </c>
      <c r="MG32" s="473"/>
      <c r="MK32" s="293">
        <f t="shared" si="119"/>
        <v>26</v>
      </c>
      <c r="ML32" s="938" t="str">
        <f>MB32</f>
        <v>Proposed Rate Increase</v>
      </c>
      <c r="MM32" s="985">
        <v>-0.18249978315112159</v>
      </c>
      <c r="MN32" s="938">
        <f>MC32</f>
        <v>0.14882029291319943</v>
      </c>
      <c r="MO32" s="938">
        <f t="shared" si="70"/>
        <v>0.33132007606432101</v>
      </c>
      <c r="MP32" s="474"/>
    </row>
    <row r="33" spans="2:354" ht="17.100000000000001" customHeight="1" x14ac:dyDescent="0.3"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AL33" s="299"/>
      <c r="AN33" s="287"/>
      <c r="AT33" s="467"/>
      <c r="AW33" s="467"/>
      <c r="AX33" s="236"/>
      <c r="BA33" s="467"/>
      <c r="BB33" s="236"/>
      <c r="BE33" s="467"/>
      <c r="BF33" s="236"/>
      <c r="BI33" s="467"/>
      <c r="BJ33" s="236"/>
      <c r="BM33" s="467"/>
      <c r="BN33" s="236"/>
      <c r="BQ33" s="467"/>
      <c r="BR33" s="236"/>
      <c r="BU33" s="467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G33" s="467"/>
      <c r="CH33" s="236"/>
      <c r="CI33" s="236"/>
      <c r="CJ33" s="236"/>
      <c r="EE33" s="475"/>
      <c r="FJ33" s="222">
        <f t="shared" si="78"/>
        <v>28</v>
      </c>
      <c r="FK33" s="242"/>
      <c r="FL33" s="877" t="s">
        <v>256</v>
      </c>
      <c r="FM33" s="650">
        <v>33261.31</v>
      </c>
      <c r="FN33" s="650">
        <v>184151.55</v>
      </c>
      <c r="FO33" s="650">
        <v>509378.34</v>
      </c>
      <c r="FP33" s="794">
        <f>FM33+FO33+FN33</f>
        <v>726791.2</v>
      </c>
      <c r="FQ33" s="650">
        <v>33261.31</v>
      </c>
      <c r="FR33" s="650">
        <v>184151.55</v>
      </c>
      <c r="FS33" s="650">
        <v>509378.34</v>
      </c>
      <c r="FT33" s="650">
        <v>726791.2</v>
      </c>
      <c r="FU33" s="955">
        <v>726791.2</v>
      </c>
      <c r="FW33" s="266"/>
      <c r="IK33" s="12"/>
      <c r="IM33" s="12"/>
      <c r="IO33" s="462"/>
      <c r="JO33" s="476"/>
      <c r="JP33" s="477"/>
      <c r="KE33" s="477"/>
      <c r="KF33" s="476"/>
      <c r="KG33" s="477"/>
      <c r="KO33" s="12"/>
      <c r="KQ33" s="12"/>
      <c r="KR33" s="12"/>
      <c r="MA33" s="341" t="s">
        <v>223</v>
      </c>
      <c r="MB33" s="341"/>
      <c r="MC33" s="341"/>
      <c r="MD33" s="341"/>
      <c r="ME33" s="341"/>
      <c r="MF33" s="341"/>
      <c r="MG33" s="341"/>
      <c r="MK33" s="341" t="s">
        <v>223</v>
      </c>
      <c r="ML33" s="298"/>
      <c r="MM33" s="298"/>
      <c r="MN33" s="298"/>
      <c r="MO33" s="478"/>
      <c r="MP33" s="478"/>
    </row>
    <row r="34" spans="2:354" ht="17.850000000000001" customHeight="1" x14ac:dyDescent="0.3"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AL34" s="299"/>
      <c r="AN34" s="287"/>
      <c r="AT34" s="467"/>
      <c r="AW34" s="467"/>
      <c r="AX34" s="236"/>
      <c r="BA34" s="467"/>
      <c r="BB34" s="236"/>
      <c r="BE34" s="467"/>
      <c r="BF34" s="236"/>
      <c r="BI34" s="467"/>
      <c r="BJ34" s="236"/>
      <c r="BM34" s="467"/>
      <c r="BN34" s="236"/>
      <c r="BQ34" s="467"/>
      <c r="BR34" s="236"/>
      <c r="BU34" s="467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G34" s="467"/>
      <c r="CH34" s="236"/>
      <c r="CI34" s="236"/>
      <c r="CJ34" s="236"/>
      <c r="FJ34" s="383">
        <f t="shared" si="78"/>
        <v>29</v>
      </c>
      <c r="FK34" s="384"/>
      <c r="FL34" s="882" t="s">
        <v>257</v>
      </c>
      <c r="FM34" s="880">
        <v>42818</v>
      </c>
      <c r="FN34" s="880">
        <v>398970.26</v>
      </c>
      <c r="FO34" s="880">
        <v>550411.94579999999</v>
      </c>
      <c r="FP34" s="881">
        <f>FM34+FO34+FN34</f>
        <v>992200.2058</v>
      </c>
      <c r="FQ34" s="880">
        <v>42518</v>
      </c>
      <c r="FR34" s="880">
        <v>398970.26</v>
      </c>
      <c r="FS34" s="880">
        <v>550411.94579999999</v>
      </c>
      <c r="FT34" s="880">
        <v>991900.2058</v>
      </c>
      <c r="FU34" s="955">
        <v>991900.2058</v>
      </c>
      <c r="FV34" s="16"/>
      <c r="FW34" s="266"/>
      <c r="IK34" s="12"/>
      <c r="IM34" s="12"/>
      <c r="IO34" s="462"/>
      <c r="JO34" s="57"/>
      <c r="JP34" s="24"/>
      <c r="KE34" s="24"/>
      <c r="KF34" s="25"/>
      <c r="KG34" s="24"/>
      <c r="KO34" s="12"/>
      <c r="KQ34" s="12"/>
      <c r="KR34" s="12"/>
      <c r="MA34" s="192">
        <f>MA32+1</f>
        <v>27</v>
      </c>
      <c r="MB34" s="479" t="s">
        <v>118</v>
      </c>
      <c r="MC34" s="1054">
        <f>JI26</f>
        <v>2194550237.8201146</v>
      </c>
      <c r="MD34" s="1054"/>
      <c r="ME34" s="480"/>
      <c r="MF34" s="481"/>
      <c r="MG34" s="480">
        <f>MC34</f>
        <v>2194550237.8201146</v>
      </c>
      <c r="MK34" s="192">
        <f>MK32+1</f>
        <v>27</v>
      </c>
      <c r="ML34" s="479" t="str">
        <f>MB34</f>
        <v>Target Year Volume</v>
      </c>
      <c r="MM34" s="482">
        <v>2172816411.6368828</v>
      </c>
      <c r="MN34" s="480">
        <f>MC34</f>
        <v>2194550237.8201146</v>
      </c>
      <c r="MO34" s="480">
        <f t="shared" ref="MO34" si="123">MN34-MM34</f>
        <v>21733826.183231831</v>
      </c>
      <c r="MP34" s="946">
        <f t="shared" ref="MP34:MP35" si="124">MO34/MM34</f>
        <v>1.0002605865287412E-2</v>
      </c>
    </row>
    <row r="35" spans="2:354" ht="17.25" thickBot="1" x14ac:dyDescent="0.35"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AL35" s="299"/>
      <c r="AN35" s="287"/>
      <c r="AT35" s="467"/>
      <c r="AW35" s="467"/>
      <c r="AX35" s="236"/>
      <c r="BA35" s="467"/>
      <c r="BB35" s="236"/>
      <c r="BE35" s="467"/>
      <c r="BF35" s="236"/>
      <c r="BI35" s="467"/>
      <c r="BJ35" s="236"/>
      <c r="BM35" s="467"/>
      <c r="BN35" s="236"/>
      <c r="BQ35" s="467"/>
      <c r="BR35" s="236"/>
      <c r="BU35" s="467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G35" s="467"/>
      <c r="CH35" s="236"/>
      <c r="CI35" s="236"/>
      <c r="CJ35" s="236"/>
      <c r="FJ35" s="297">
        <f t="shared" si="78"/>
        <v>30</v>
      </c>
      <c r="FK35" s="483"/>
      <c r="FL35" s="484" t="s">
        <v>221</v>
      </c>
      <c r="FM35" s="309">
        <f>SUM(FM33:FM34)</f>
        <v>76079.31</v>
      </c>
      <c r="FN35" s="309">
        <f>SUM(FN33:FN34)</f>
        <v>583121.81000000006</v>
      </c>
      <c r="FO35" s="309">
        <f>SUM(FO33:FO34)</f>
        <v>1059790.2858</v>
      </c>
      <c r="FP35" s="325">
        <f>FM35+FO35+FN35</f>
        <v>1718991.4058000001</v>
      </c>
      <c r="FQ35" s="309">
        <v>75779.31</v>
      </c>
      <c r="FR35" s="309">
        <v>583121.81000000006</v>
      </c>
      <c r="FS35" s="309">
        <v>1059790.2858</v>
      </c>
      <c r="FT35" s="309">
        <v>1718691.4057999998</v>
      </c>
      <c r="FU35" s="971">
        <v>1718691.4057999998</v>
      </c>
      <c r="FW35" s="266"/>
      <c r="IK35" s="12"/>
      <c r="IM35" s="12"/>
      <c r="IO35" s="462"/>
      <c r="JP35" s="189"/>
      <c r="KE35" s="189"/>
      <c r="KF35" s="472"/>
      <c r="KG35" s="189"/>
      <c r="KO35" s="12"/>
      <c r="KQ35" s="12"/>
      <c r="KR35" s="12"/>
      <c r="MA35" s="274">
        <f>MA34+1</f>
        <v>28</v>
      </c>
      <c r="MB35" s="486" t="s">
        <v>230</v>
      </c>
      <c r="MC35" s="1050">
        <f>JG26</f>
        <v>219</v>
      </c>
      <c r="MD35" s="1050"/>
      <c r="ME35" s="487"/>
      <c r="MF35" s="488"/>
      <c r="MG35" s="487">
        <f>MC35</f>
        <v>219</v>
      </c>
      <c r="MK35" s="274">
        <f>MK34+1</f>
        <v>28</v>
      </c>
      <c r="ML35" s="486" t="str">
        <f>MB35</f>
        <v>Number of Depots</v>
      </c>
      <c r="MM35" s="489">
        <v>221</v>
      </c>
      <c r="MN35" s="487">
        <f>MC35</f>
        <v>219</v>
      </c>
      <c r="MO35" s="490">
        <f>MN35-MM35</f>
        <v>-2</v>
      </c>
      <c r="MP35" s="947">
        <f t="shared" si="124"/>
        <v>-9.0497737556561094E-3</v>
      </c>
    </row>
    <row r="36" spans="2:354" ht="17.25" thickBot="1" x14ac:dyDescent="0.35"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AN36" s="379"/>
      <c r="FJ36" s="491">
        <f t="shared" si="78"/>
        <v>31</v>
      </c>
      <c r="FK36" s="492"/>
      <c r="FL36" s="493" t="s">
        <v>71</v>
      </c>
      <c r="FM36" s="494">
        <f>FM20+FM24+FM31+FM35</f>
        <v>2645170.5619999999</v>
      </c>
      <c r="FN36" s="494">
        <f>FN20+FN24+FN31+FN35</f>
        <v>3815523.84485</v>
      </c>
      <c r="FO36" s="494">
        <f>FO20+FO24+FO31+FO35</f>
        <v>5940057.9059100002</v>
      </c>
      <c r="FP36" s="495">
        <f>FM36+FO36+FN36</f>
        <v>12400752.312759999</v>
      </c>
      <c r="FQ36" s="494">
        <v>2543957.5453704544</v>
      </c>
      <c r="FR36" s="494">
        <v>3606846.8748500003</v>
      </c>
      <c r="FS36" s="494">
        <v>5884447.3059099996</v>
      </c>
      <c r="FT36" s="494">
        <v>12035251.726130454</v>
      </c>
      <c r="FU36" s="972">
        <v>12035251.726130454</v>
      </c>
      <c r="FW36" s="266"/>
      <c r="IK36" s="12"/>
      <c r="IM36" s="12"/>
      <c r="IO36" s="462"/>
      <c r="JO36" s="496"/>
      <c r="JP36" s="485"/>
      <c r="JQ36" s="485"/>
      <c r="JR36" s="485"/>
      <c r="JS36" s="485"/>
      <c r="JT36" s="485"/>
      <c r="JU36" s="485"/>
      <c r="JW36" s="446"/>
      <c r="JX36" s="446"/>
      <c r="JY36" s="446"/>
      <c r="JZ36" s="446"/>
      <c r="KA36" s="446"/>
      <c r="KB36" s="446"/>
      <c r="KC36" s="485"/>
      <c r="KD36" s="485"/>
      <c r="KE36" s="485"/>
      <c r="KF36" s="497"/>
      <c r="KG36" s="485"/>
      <c r="KO36" s="12"/>
      <c r="KQ36" s="12"/>
      <c r="KR36" s="12"/>
      <c r="MA36" s="12"/>
      <c r="MB36" s="190" t="s">
        <v>447</v>
      </c>
    </row>
    <row r="37" spans="2:354" ht="15.75" customHeight="1" x14ac:dyDescent="0.3"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AL37" s="299"/>
      <c r="AN37" s="287"/>
      <c r="AP37" s="498"/>
      <c r="AQ37" s="15"/>
      <c r="AT37" s="211"/>
      <c r="AV37" s="499"/>
      <c r="AW37" s="211"/>
      <c r="AX37" s="236"/>
      <c r="AZ37" s="499"/>
      <c r="BA37" s="211"/>
      <c r="BB37" s="236"/>
      <c r="BD37" s="499"/>
      <c r="BE37" s="211"/>
      <c r="BF37" s="236"/>
      <c r="BH37" s="499"/>
      <c r="BI37" s="211"/>
      <c r="BJ37" s="236"/>
      <c r="BL37" s="499"/>
      <c r="BM37" s="211"/>
      <c r="BN37" s="236"/>
      <c r="BP37" s="499"/>
      <c r="BQ37" s="211"/>
      <c r="BR37" s="236"/>
      <c r="BT37" s="499"/>
      <c r="BU37" s="211"/>
      <c r="BV37" s="236"/>
      <c r="BW37" s="236"/>
      <c r="BX37" s="236"/>
      <c r="BY37" s="236"/>
      <c r="BZ37" s="236"/>
      <c r="CA37" s="236"/>
      <c r="CB37" s="236"/>
      <c r="CC37" s="236"/>
      <c r="CD37" s="236"/>
      <c r="CE37" s="236"/>
      <c r="CF37" s="499"/>
      <c r="CG37" s="211"/>
      <c r="CH37" s="236"/>
      <c r="CI37" s="236"/>
      <c r="CJ37" s="236"/>
      <c r="IK37" s="12"/>
      <c r="IM37" s="12"/>
      <c r="IO37" s="462"/>
      <c r="JO37" s="496"/>
      <c r="JP37" s="485"/>
      <c r="JQ37" s="485"/>
      <c r="JR37" s="485"/>
      <c r="JS37" s="485"/>
      <c r="JT37" s="485"/>
      <c r="JU37" s="485"/>
      <c r="JW37" s="446"/>
      <c r="JX37" s="446"/>
      <c r="JY37" s="446"/>
      <c r="JZ37" s="446"/>
      <c r="KA37" s="446"/>
      <c r="KB37" s="446"/>
      <c r="KC37" s="485"/>
      <c r="KD37" s="485"/>
      <c r="KE37" s="485"/>
      <c r="KF37" s="497"/>
      <c r="KG37" s="485"/>
      <c r="KO37" s="12"/>
      <c r="KQ37" s="12"/>
      <c r="KR37" s="12"/>
      <c r="MA37" s="12"/>
      <c r="MB37" s="194" t="s">
        <v>232</v>
      </c>
      <c r="MC37" s="320">
        <v>19960070.068912446</v>
      </c>
      <c r="MD37" s="331">
        <v>0.91454128970437332</v>
      </c>
    </row>
    <row r="38" spans="2:354" ht="16.5" x14ac:dyDescent="0.3"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AL38" s="299"/>
      <c r="AN38" s="287"/>
      <c r="AQ38" s="15"/>
      <c r="BU38" s="232"/>
      <c r="CG38" s="232"/>
      <c r="FW38" s="266"/>
      <c r="IK38" s="12"/>
      <c r="IM38" s="12"/>
      <c r="IO38" s="462"/>
      <c r="JO38" s="496"/>
      <c r="JP38" s="485"/>
      <c r="JQ38" s="485"/>
      <c r="JR38" s="485"/>
      <c r="JS38" s="485"/>
      <c r="JT38" s="485"/>
      <c r="JU38" s="485"/>
      <c r="JW38" s="446"/>
      <c r="JX38" s="446"/>
      <c r="JY38" s="446"/>
      <c r="JZ38" s="446"/>
      <c r="KA38" s="446"/>
      <c r="KB38" s="446"/>
      <c r="KC38" s="485"/>
      <c r="KD38" s="485"/>
      <c r="KE38" s="485"/>
      <c r="KF38" s="497"/>
      <c r="KG38" s="485"/>
      <c r="KO38" s="12"/>
      <c r="KQ38" s="12"/>
      <c r="KR38" s="12"/>
      <c r="MA38" s="12"/>
      <c r="MB38" s="816" t="s">
        <v>233</v>
      </c>
      <c r="MC38" s="932">
        <v>5.390000000000017E-2</v>
      </c>
      <c r="MD38" s="930"/>
    </row>
    <row r="39" spans="2:354" ht="16.5" x14ac:dyDescent="0.3"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IK39" s="12"/>
      <c r="IM39" s="12"/>
      <c r="IO39" s="462"/>
      <c r="JO39" s="496"/>
      <c r="JP39" s="485"/>
      <c r="JQ39" s="485"/>
      <c r="JR39" s="485"/>
      <c r="JS39" s="485"/>
      <c r="JT39" s="485"/>
      <c r="JU39" s="485"/>
      <c r="JW39" s="446"/>
      <c r="JX39" s="446"/>
      <c r="JY39" s="446"/>
      <c r="JZ39" s="446"/>
      <c r="KA39" s="446"/>
      <c r="KB39" s="446"/>
      <c r="KC39" s="485"/>
      <c r="KD39" s="485"/>
      <c r="KE39" s="485"/>
      <c r="KF39" s="497"/>
      <c r="KG39" s="485"/>
      <c r="KO39" s="12"/>
      <c r="KQ39" s="12"/>
      <c r="KR39" s="12"/>
      <c r="LK39" s="500"/>
      <c r="LL39" s="500"/>
      <c r="LM39" s="500"/>
      <c r="LN39" s="500"/>
      <c r="MA39" s="12"/>
      <c r="MB39" s="375" t="s">
        <v>236</v>
      </c>
      <c r="MC39" s="376">
        <v>129163059.59289664</v>
      </c>
      <c r="MD39" s="377">
        <v>5.9180629473955912</v>
      </c>
      <c r="MF39" s="1004"/>
    </row>
    <row r="40" spans="2:354" ht="16.5" x14ac:dyDescent="0.3"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AL40" s="299"/>
      <c r="IK40" s="12"/>
      <c r="IM40" s="12"/>
      <c r="IO40" s="462"/>
      <c r="JW40" s="446"/>
      <c r="JX40" s="446"/>
      <c r="JY40" s="446"/>
      <c r="JZ40" s="446"/>
      <c r="KA40" s="446"/>
      <c r="KB40" s="446"/>
      <c r="KO40" s="12"/>
      <c r="KQ40" s="12"/>
      <c r="KR40" s="12"/>
      <c r="LK40" s="500"/>
      <c r="LL40" s="500"/>
      <c r="LM40" s="500"/>
      <c r="LN40" s="500"/>
      <c r="MA40" s="12"/>
      <c r="MB40" s="650" t="s">
        <v>239</v>
      </c>
      <c r="MC40" s="650">
        <v>0</v>
      </c>
      <c r="MD40" s="747">
        <v>0</v>
      </c>
      <c r="MF40" s="1004"/>
    </row>
    <row r="41" spans="2:354" ht="16.5" x14ac:dyDescent="0.3"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AL41" s="502"/>
      <c r="IK41" s="12"/>
      <c r="IM41" s="12"/>
      <c r="IO41" s="462"/>
      <c r="JW41" s="446"/>
      <c r="JX41" s="446"/>
      <c r="JY41" s="446"/>
      <c r="JZ41" s="446"/>
      <c r="KA41" s="446"/>
      <c r="KB41" s="446"/>
      <c r="KO41" s="12"/>
      <c r="KQ41" s="12"/>
      <c r="KR41" s="12"/>
      <c r="LK41" s="500"/>
      <c r="LL41" s="503"/>
      <c r="LM41" s="504"/>
      <c r="LN41" s="505"/>
      <c r="MA41" s="12"/>
      <c r="MB41" s="935" t="s">
        <v>244</v>
      </c>
      <c r="MC41" s="935">
        <v>0</v>
      </c>
      <c r="MD41" s="936">
        <v>0</v>
      </c>
      <c r="MF41" s="1004"/>
    </row>
    <row r="42" spans="2:354" ht="16.5" x14ac:dyDescent="0.3"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AL42" s="299"/>
      <c r="IO42" s="462"/>
      <c r="JW42" s="446"/>
      <c r="JX42" s="446"/>
      <c r="JY42" s="446"/>
      <c r="JZ42" s="446"/>
      <c r="KA42" s="446"/>
      <c r="KB42" s="446"/>
      <c r="KO42" s="12"/>
      <c r="KQ42" s="12"/>
      <c r="KR42" s="12"/>
      <c r="LK42" s="500"/>
      <c r="LL42" s="504"/>
      <c r="LM42" s="504"/>
      <c r="LN42" s="505"/>
      <c r="MA42" s="12"/>
      <c r="MB42" s="453" t="s">
        <v>247</v>
      </c>
      <c r="MC42" s="454">
        <v>129163059.59289664</v>
      </c>
      <c r="MD42" s="455">
        <v>5.9180629473955912</v>
      </c>
      <c r="MF42" s="1004"/>
    </row>
    <row r="43" spans="2:354" ht="16.5" x14ac:dyDescent="0.3"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IO43" s="462"/>
      <c r="JW43" s="446"/>
      <c r="JX43" s="446"/>
      <c r="JY43" s="446"/>
      <c r="JZ43" s="446"/>
      <c r="KA43" s="446"/>
      <c r="KB43" s="446"/>
      <c r="KO43" s="12"/>
      <c r="KQ43" s="12"/>
      <c r="KR43" s="12"/>
      <c r="LK43" s="500"/>
      <c r="LL43" s="503"/>
      <c r="LM43" s="503"/>
      <c r="LN43" s="505"/>
      <c r="MA43" s="12"/>
      <c r="MB43" s="291" t="s">
        <v>250</v>
      </c>
      <c r="MC43" s="458">
        <v>4749598.8</v>
      </c>
      <c r="MD43" s="331">
        <v>0.21761968756290126</v>
      </c>
      <c r="MF43" s="1004"/>
    </row>
    <row r="44" spans="2:354" ht="16.5" x14ac:dyDescent="0.3">
      <c r="B44" s="462"/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IO44" s="462"/>
      <c r="JW44" s="446"/>
      <c r="JX44" s="446"/>
      <c r="JY44" s="446"/>
      <c r="JZ44" s="446"/>
      <c r="KA44" s="446"/>
      <c r="KB44" s="446"/>
      <c r="KO44" s="12"/>
      <c r="KQ44" s="12"/>
      <c r="KR44" s="12"/>
      <c r="LK44" s="500"/>
      <c r="LL44" s="500"/>
      <c r="LM44" s="500"/>
      <c r="LN44" s="505"/>
      <c r="MA44" s="12"/>
      <c r="MB44" s="453" t="s">
        <v>252</v>
      </c>
      <c r="MC44" s="454">
        <v>124413460.79289664</v>
      </c>
      <c r="MD44" s="455">
        <v>5.7004432598326904</v>
      </c>
      <c r="MF44" s="1004"/>
      <c r="ML44" s="32"/>
    </row>
    <row r="45" spans="2:354" ht="16.5" x14ac:dyDescent="0.3">
      <c r="IO45" s="462"/>
      <c r="JW45" s="446"/>
      <c r="JX45" s="446"/>
      <c r="JY45" s="446"/>
      <c r="JZ45" s="446"/>
      <c r="KA45" s="446"/>
      <c r="KB45" s="446"/>
      <c r="KO45" s="12"/>
      <c r="KQ45" s="12"/>
      <c r="KR45" s="12"/>
      <c r="LK45" s="500"/>
      <c r="LL45" s="500"/>
      <c r="LM45" s="500"/>
      <c r="LN45" s="500"/>
      <c r="MA45" s="12"/>
      <c r="MB45" s="935" t="s">
        <v>253</v>
      </c>
      <c r="MC45" s="935">
        <v>113155729.87481624</v>
      </c>
      <c r="MD45" s="936">
        <v>5.1846304536942283</v>
      </c>
      <c r="MF45" s="1004"/>
    </row>
    <row r="46" spans="2:354" ht="16.5" x14ac:dyDescent="0.3">
      <c r="IO46" s="462"/>
      <c r="JW46" s="446"/>
      <c r="JX46" s="446"/>
      <c r="JY46" s="446"/>
      <c r="JZ46" s="446"/>
      <c r="KA46" s="446"/>
      <c r="KB46" s="446"/>
      <c r="KO46" s="12"/>
      <c r="KQ46" s="12"/>
      <c r="KR46" s="12"/>
      <c r="MA46" s="12"/>
      <c r="MB46" s="938" t="s">
        <v>255</v>
      </c>
      <c r="MC46" s="978">
        <v>0.1512114027739575</v>
      </c>
      <c r="MD46" s="938"/>
      <c r="ML46" s="32"/>
    </row>
    <row r="47" spans="2:354" x14ac:dyDescent="0.25">
      <c r="IO47" s="462"/>
      <c r="JW47" s="446"/>
      <c r="JX47" s="446"/>
      <c r="JY47" s="446"/>
      <c r="JZ47" s="446"/>
      <c r="KA47" s="446"/>
      <c r="KB47" s="446"/>
      <c r="KO47" s="12"/>
      <c r="KQ47" s="12"/>
      <c r="KR47" s="12"/>
      <c r="MB47" s="12"/>
      <c r="MM47" s="411"/>
    </row>
    <row r="48" spans="2:354" x14ac:dyDescent="0.25">
      <c r="IO48" s="998"/>
      <c r="JW48" s="446"/>
      <c r="JX48" s="446"/>
      <c r="JY48" s="446"/>
      <c r="JZ48" s="446"/>
      <c r="KA48" s="446"/>
      <c r="KB48" s="446"/>
      <c r="KR48" s="12"/>
      <c r="MB48" s="190" t="s">
        <v>445</v>
      </c>
      <c r="MC48" s="1012">
        <f>MC39-MC28</f>
        <v>-455832.2344609499</v>
      </c>
      <c r="MK48" s="8"/>
      <c r="MM48" s="411"/>
    </row>
    <row r="49" spans="283:357" x14ac:dyDescent="0.25">
      <c r="JW49" s="446"/>
      <c r="JX49" s="446"/>
      <c r="JY49" s="446"/>
      <c r="JZ49" s="446"/>
      <c r="KA49" s="446"/>
      <c r="KB49" s="446"/>
      <c r="KR49" s="12"/>
      <c r="MB49" s="12"/>
      <c r="MM49" s="411"/>
    </row>
    <row r="50" spans="283:357" x14ac:dyDescent="0.25">
      <c r="JW50" s="446"/>
      <c r="JX50" s="446"/>
      <c r="KR50" s="12"/>
      <c r="LS50" s="221"/>
      <c r="LT50" s="8"/>
      <c r="LX50" s="8"/>
      <c r="LY50" s="221"/>
      <c r="LZ50" s="8"/>
      <c r="MC50" s="507"/>
      <c r="MD50" s="508"/>
      <c r="MK50" s="8"/>
      <c r="MM50" s="411"/>
      <c r="MR50" s="221"/>
      <c r="MS50" s="8"/>
    </row>
    <row r="51" spans="283:357" x14ac:dyDescent="0.25">
      <c r="KR51" s="12"/>
      <c r="LU51" s="8"/>
      <c r="LV51" s="8"/>
      <c r="LW51" s="8"/>
      <c r="MC51" s="230"/>
      <c r="MD51" s="506"/>
      <c r="MJ51" s="8"/>
    </row>
    <row r="52" spans="283:357" x14ac:dyDescent="0.25">
      <c r="KR52" s="12"/>
      <c r="LS52" s="221"/>
      <c r="LT52" s="8"/>
      <c r="LX52" s="8"/>
      <c r="LY52" s="221"/>
      <c r="LZ52" s="8"/>
      <c r="MC52" s="507"/>
      <c r="MD52" s="508"/>
      <c r="MI52" s="221"/>
      <c r="MR52" s="221"/>
      <c r="MS52" s="8"/>
    </row>
    <row r="53" spans="283:357" x14ac:dyDescent="0.25">
      <c r="KR53" s="12"/>
      <c r="LU53" s="8"/>
      <c r="LV53" s="8"/>
      <c r="LW53" s="8"/>
      <c r="MC53" s="230"/>
      <c r="MD53" s="506"/>
      <c r="MJ53" s="8"/>
    </row>
    <row r="54" spans="283:357" x14ac:dyDescent="0.25">
      <c r="KS54" s="204"/>
      <c r="MC54" s="230"/>
      <c r="MD54" s="506"/>
      <c r="MI54" s="221"/>
    </row>
  </sheetData>
  <mergeCells count="106">
    <mergeCell ref="MC35:MD35"/>
    <mergeCell ref="F25:G25"/>
    <mergeCell ref="H25:J25"/>
    <mergeCell ref="K25:M25"/>
    <mergeCell ref="N25:P25"/>
    <mergeCell ref="MC34:MD34"/>
    <mergeCell ref="AN21:CJ21"/>
    <mergeCell ref="BT22:BV22"/>
    <mergeCell ref="BT23:BV23"/>
    <mergeCell ref="F24:G24"/>
    <mergeCell ref="H24:J24"/>
    <mergeCell ref="K24:M24"/>
    <mergeCell ref="N24:P24"/>
    <mergeCell ref="JY3:JZ3"/>
    <mergeCell ref="KA3:KB3"/>
    <mergeCell ref="KC3:KD3"/>
    <mergeCell ref="KL3:KM3"/>
    <mergeCell ref="KN3:KO3"/>
    <mergeCell ref="KP3:KQ3"/>
    <mergeCell ref="IR3:IS3"/>
    <mergeCell ref="IT3:IU3"/>
    <mergeCell ref="IV3:IW3"/>
    <mergeCell ref="IX3:IZ3"/>
    <mergeCell ref="JU3:JV3"/>
    <mergeCell ref="JW3:JX3"/>
    <mergeCell ref="LI3:LK3"/>
    <mergeCell ref="LL3:LN3"/>
    <mergeCell ref="LO3:LQ3"/>
    <mergeCell ref="MC4:MD4"/>
    <mergeCell ref="MF4:MG4"/>
    <mergeCell ref="KR3:KS3"/>
    <mergeCell ref="KT3:KU3"/>
    <mergeCell ref="KV3:KW3"/>
    <mergeCell ref="KX3:KY3"/>
    <mergeCell ref="KZ3:LA3"/>
    <mergeCell ref="LB3:LC3"/>
    <mergeCell ref="HY3:HZ3"/>
    <mergeCell ref="IH3:II3"/>
    <mergeCell ref="IJ3:IK3"/>
    <mergeCell ref="IL3:IM3"/>
    <mergeCell ref="IN3:IO3"/>
    <mergeCell ref="IP3:IQ3"/>
    <mergeCell ref="GN3:GQ3"/>
    <mergeCell ref="GR3:GU3"/>
    <mergeCell ref="HQ3:HR3"/>
    <mergeCell ref="HS3:HT3"/>
    <mergeCell ref="HU3:HV3"/>
    <mergeCell ref="HW3:HX3"/>
    <mergeCell ref="FM3:FP3"/>
    <mergeCell ref="FQ3:FU3"/>
    <mergeCell ref="GA3:GD3"/>
    <mergeCell ref="GE3:GH3"/>
    <mergeCell ref="DO3:DP3"/>
    <mergeCell ref="DV3:DY3"/>
    <mergeCell ref="DZ3:EC3"/>
    <mergeCell ref="EI3:EL3"/>
    <mergeCell ref="EM3:EP3"/>
    <mergeCell ref="EV3:EY3"/>
    <mergeCell ref="AS3:AT3"/>
    <mergeCell ref="AV3:AX3"/>
    <mergeCell ref="AZ3:BB3"/>
    <mergeCell ref="BD3:BF3"/>
    <mergeCell ref="BH3:BJ3"/>
    <mergeCell ref="BL3:BN3"/>
    <mergeCell ref="KH1:LC2"/>
    <mergeCell ref="LG1:LQ2"/>
    <mergeCell ref="LU1:LW2"/>
    <mergeCell ref="CZ1:DH1"/>
    <mergeCell ref="CI3:CJ3"/>
    <mergeCell ref="CP3:CS3"/>
    <mergeCell ref="CT3:CW3"/>
    <mergeCell ref="DC3:DD3"/>
    <mergeCell ref="DE3:DG3"/>
    <mergeCell ref="DM3:DN3"/>
    <mergeCell ref="BP3:BR3"/>
    <mergeCell ref="BT3:BV3"/>
    <mergeCell ref="BW3:BY3"/>
    <mergeCell ref="BZ3:CB3"/>
    <mergeCell ref="CC3:CE3"/>
    <mergeCell ref="CF3:CH3"/>
    <mergeCell ref="EZ3:FC3"/>
    <mergeCell ref="FD3:FF3"/>
    <mergeCell ref="MA1:MG2"/>
    <mergeCell ref="MK1:MP2"/>
    <mergeCell ref="F3:G3"/>
    <mergeCell ref="H3:J3"/>
    <mergeCell ref="K3:M3"/>
    <mergeCell ref="N3:P3"/>
    <mergeCell ref="Q3:R3"/>
    <mergeCell ref="GK1:GV1"/>
    <mergeCell ref="GY1:HJ2"/>
    <mergeCell ref="HN1:HZ2"/>
    <mergeCell ref="ID1:IZ2"/>
    <mergeCell ref="JD1:JM2"/>
    <mergeCell ref="JQ1:KD2"/>
    <mergeCell ref="DJ1:DQ1"/>
    <mergeCell ref="DS1:ED1"/>
    <mergeCell ref="EG1:EP1"/>
    <mergeCell ref="ET1:FF1"/>
    <mergeCell ref="FI1:FV1"/>
    <mergeCell ref="FX1:GI1"/>
    <mergeCell ref="A1:R1"/>
    <mergeCell ref="W1:AA1"/>
    <mergeCell ref="AF1:AJ1"/>
    <mergeCell ref="AM1:CJ1"/>
    <mergeCell ref="CM1:CX1"/>
  </mergeCells>
  <conditionalFormatting sqref="AM3:CK4 KU29:LC30 KM30:KQ30">
    <cfRule type="cellIs" dxfId="77" priority="6" operator="lessThan">
      <formula>0</formula>
    </cfRule>
  </conditionalFormatting>
  <conditionalFormatting sqref="AN7:AP20">
    <cfRule type="cellIs" dxfId="76" priority="20" operator="lessThan">
      <formula>0</formula>
    </cfRule>
  </conditionalFormatting>
  <conditionalFormatting sqref="AN22:BT23">
    <cfRule type="cellIs" dxfId="75" priority="4" operator="lessThan">
      <formula>0</formula>
    </cfRule>
  </conditionalFormatting>
  <conditionalFormatting sqref="BW7:CJ20">
    <cfRule type="cellIs" dxfId="74" priority="9" operator="lessThan">
      <formula>0</formula>
    </cfRule>
  </conditionalFormatting>
  <conditionalFormatting sqref="BZ22:CA23">
    <cfRule type="cellIs" dxfId="73" priority="3" operator="lessThan">
      <formula>0</formula>
    </cfRule>
  </conditionalFormatting>
  <conditionalFormatting sqref="CC22:CJ23">
    <cfRule type="cellIs" dxfId="72" priority="1" operator="lessThan">
      <formula>0</formula>
    </cfRule>
  </conditionalFormatting>
  <conditionalFormatting sqref="CK1:CL1 JC1:JD1 JQ1 KE1:KH1 LD1:LE1 LG1 AM1:AM2 JN1:JP2 AO2:AR2 BW2:CK2 JC2 LD2 KE2:KG27 CL2:CL1048576 LE2:LE1048576 JC3:JS3 JU3 JW3 JY3 KL3:KR3 KT3 KX3:LD3 KJ3:KK4 JC4 JE4:JO4 KL4:LD4 JQ4:JT27 JP4:JP28 AN5:AR5 BW5:CJ5 CK5:CK24 KH5:KI27 AM5:AM1048576 AN6:CJ6 JM6:JO26 JC6:JL1048576 AQ7:BT10 BU7:BV11 KX7:LD28 AQ11:BO11 BQ11:BT11 AQ12:BV20 AH19:AJ19 AN26:CK1048576 JV27 JX27 JZ27:KB27 JO27:JO32 JM27:JN1048576 LF28:LF37 JP29:JU29 JW29:KG29 KI29:KQ29 LD29:LD1048576 KI30:KK30 JP30:JP32 KE30:KG32 JO34:JP35 KE34:KG35 JO36:JU50 JW36:KG50 LF38:LQ1048576 KH48:KQ53 KU48:LC53 JO51:KG1048576 KH54:KR54 KT54:LC54 KH55:LC1048576">
    <cfRule type="cellIs" dxfId="71" priority="26" operator="lessThan">
      <formula>0</formula>
    </cfRule>
  </conditionalFormatting>
  <conditionalFormatting sqref="HF4 HF6:HF25">
    <cfRule type="cellIs" dxfId="70" priority="25" operator="lessThan">
      <formula>0</formula>
    </cfRule>
  </conditionalFormatting>
  <conditionalFormatting sqref="IF4">
    <cfRule type="cellIs" dxfId="69" priority="23" operator="lessThan">
      <formula>0</formula>
    </cfRule>
  </conditionalFormatting>
  <conditionalFormatting sqref="JC5:JO5">
    <cfRule type="cellIs" dxfId="68" priority="12" operator="lessThan">
      <formula>0</formula>
    </cfRule>
  </conditionalFormatting>
  <conditionalFormatting sqref="JU4:KD26">
    <cfRule type="cellIs" dxfId="67" priority="2" operator="lessThan">
      <formula>0</formula>
    </cfRule>
  </conditionalFormatting>
  <conditionalFormatting sqref="KC3">
    <cfRule type="cellIs" dxfId="66" priority="21" operator="lessThan">
      <formula>0</formula>
    </cfRule>
  </conditionalFormatting>
  <conditionalFormatting sqref="KC28:KW28">
    <cfRule type="cellIs" dxfId="65" priority="11" operator="lessThan">
      <formula>0</formula>
    </cfRule>
  </conditionalFormatting>
  <conditionalFormatting sqref="KD27">
    <cfRule type="cellIs" dxfId="64" priority="13" operator="lessThan">
      <formula>0</formula>
    </cfRule>
  </conditionalFormatting>
  <conditionalFormatting sqref="KH3:KI3 KI4">
    <cfRule type="cellIs" dxfId="63" priority="22" operator="lessThan">
      <formula>0</formula>
    </cfRule>
  </conditionalFormatting>
  <conditionalFormatting sqref="KJ7:KW27">
    <cfRule type="cellIs" dxfId="62" priority="10" operator="lessThan">
      <formula>0</formula>
    </cfRule>
  </conditionalFormatting>
  <conditionalFormatting sqref="KJ5:LD6">
    <cfRule type="cellIs" dxfId="61" priority="24" operator="lessThan">
      <formula>0</formula>
    </cfRule>
  </conditionalFormatting>
  <conditionalFormatting sqref="LF2">
    <cfRule type="cellIs" dxfId="60" priority="5" operator="lessThan">
      <formula>0</formula>
    </cfRule>
  </conditionalFormatting>
  <conditionalFormatting sqref="LI3:LI4">
    <cfRule type="cellIs" dxfId="59" priority="19" operator="lessThan">
      <formula>0</formula>
    </cfRule>
  </conditionalFormatting>
  <conditionalFormatting sqref="LJ4:LK4">
    <cfRule type="cellIs" dxfId="58" priority="18" operator="lessThan">
      <formula>0</formula>
    </cfRule>
  </conditionalFormatting>
  <conditionalFormatting sqref="LL3:LL4">
    <cfRule type="cellIs" dxfId="57" priority="17" operator="lessThan">
      <formula>0</formula>
    </cfRule>
  </conditionalFormatting>
  <conditionalFormatting sqref="LM4:LN4">
    <cfRule type="cellIs" dxfId="56" priority="16" operator="lessThan">
      <formula>0</formula>
    </cfRule>
  </conditionalFormatting>
  <conditionalFormatting sqref="LO3:LO4">
    <cfRule type="cellIs" dxfId="55" priority="15" operator="lessThan">
      <formula>0</formula>
    </cfRule>
  </conditionalFormatting>
  <conditionalFormatting sqref="LP4:LQ4">
    <cfRule type="cellIs" dxfId="54" priority="14" operator="lessThan">
      <formula>0</formula>
    </cfRule>
  </conditionalFormatting>
  <conditionalFormatting sqref="LU1">
    <cfRule type="cellIs" dxfId="53" priority="8" operator="lessThan">
      <formula>0</formula>
    </cfRule>
  </conditionalFormatting>
  <conditionalFormatting sqref="LU4:LW4">
    <cfRule type="cellIs" dxfId="52" priority="7" operator="lessThan">
      <formula>0</formula>
    </cfRule>
  </conditionalFormatting>
  <pageMargins left="0.7" right="0.7" top="0.75" bottom="0.75" header="0.3" footer="0.3"/>
  <pageSetup scale="10" orientation="landscape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CCB506-44CA-4C66-9AA7-29890F98FDC1}">
  <ds:schemaRefs>
    <ds:schemaRef ds:uri="http://schemas.microsoft.com/office/2006/metadata/properties"/>
    <ds:schemaRef ds:uri="http://schemas.microsoft.com/office/infopath/2007/PartnerControls"/>
    <ds:schemaRef ds:uri="033f3c31-a06a-42e1-839c-42d3c12e0580"/>
    <ds:schemaRef ds:uri="b0eccaff-ed0e-4369-a755-3c501f3fbb44"/>
  </ds:schemaRefs>
</ds:datastoreItem>
</file>

<file path=customXml/itemProps2.xml><?xml version="1.0" encoding="utf-8"?>
<ds:datastoreItem xmlns:ds="http://schemas.openxmlformats.org/officeDocument/2006/customXml" ds:itemID="{ECB29DC9-5099-48EA-8C16-151280DB7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ED182-0CC5-4F74-B5D3-5F56DC479B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Actuals Phase I Schedules</vt:lpstr>
      <vt:lpstr>Actuals Phase II Schedules</vt:lpstr>
      <vt:lpstr>DCA 8 month Phase I</vt:lpstr>
      <vt:lpstr>DCA 8 month Phase II</vt:lpstr>
      <vt:lpstr>DCA 3 month Phase I</vt:lpstr>
      <vt:lpstr>DCA 3 month Phase II</vt:lpstr>
      <vt:lpstr>ABDA 8 month Phase I</vt:lpstr>
      <vt:lpstr>ABDA 8 month Phase II</vt:lpstr>
      <vt:lpstr>ABDA 3 month Phase I</vt:lpstr>
      <vt:lpstr>ABDA 3 month Phase II</vt:lpstr>
      <vt:lpstr>hrspercont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Mary McPhail</cp:lastModifiedBy>
  <dcterms:created xsi:type="dcterms:W3CDTF">2024-10-21T18:48:53Z</dcterms:created>
  <dcterms:modified xsi:type="dcterms:W3CDTF">2026-02-25T20:39:05Z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  <property fmtid="{D5CDD505-2E9C-101B-9397-08002B2CF9AE}" pid="3" name="MediaServiceImageTags">
    <vt:lpwstr/>
  </property>
</Properties>
</file>